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ffaires\Collecte OM, collecte sélective, déchèterie\21-433-CAPVAL-MO déch.-Pontailler sur Saône\3-Projet\04-DCE\03-PIECES ECRITES\DPGF\"/>
    </mc:Choice>
  </mc:AlternateContent>
  <xr:revisionPtr revIDLastSave="0" documentId="13_ncr:1_{906CA229-720D-4E9F-8FBE-4122D54D69CB}" xr6:coauthVersionLast="47" xr6:coauthVersionMax="47" xr10:uidLastSave="{00000000-0000-0000-0000-000000000000}"/>
  <bookViews>
    <workbookView xWindow="28800" yWindow="0" windowWidth="14400" windowHeight="15600" tabRatio="777" xr2:uid="{00000000-000D-0000-FFFF-FFFF00000000}"/>
  </bookViews>
  <sheets>
    <sheet name="TOTAL" sheetId="7" r:id="rId1"/>
    <sheet name="01" sheetId="2" r:id="rId2"/>
    <sheet name="TERR-VRD" sheetId="3" r:id="rId3"/>
    <sheet name="02" sheetId="20" r:id="rId4"/>
    <sheet name="GC-BÂTIMENT" sheetId="14" r:id="rId5"/>
    <sheet name="03" sheetId="8" r:id="rId6"/>
    <sheet name="ELECTRICITE-VIDEO" sheetId="18" r:id="rId7"/>
    <sheet name="04" sheetId="9" r:id="rId8"/>
    <sheet name="CLOTURE-SERRURERIE" sheetId="17" r:id="rId9"/>
    <sheet name="05" sheetId="22" r:id="rId10"/>
    <sheet name="GESTION ACCES" sheetId="21" r:id="rId11"/>
  </sheets>
  <definedNames>
    <definedName name="_xlnm.Print_Titles" localSheetId="8">'CLOTURE-SERRURERIE'!$1:$6</definedName>
    <definedName name="_xlnm.Print_Titles" localSheetId="6">'ELECTRICITE-VIDEO'!$1:$6</definedName>
    <definedName name="_xlnm.Print_Titles" localSheetId="4">'GC-BÂTIMENT'!$1:$6</definedName>
    <definedName name="_xlnm.Print_Titles" localSheetId="10">'GESTION ACCES'!$1:$6</definedName>
    <definedName name="_xlnm.Print_Titles" localSheetId="2">'TERR-VRD'!$1:$6</definedName>
    <definedName name="_xlnm.Print_Area" localSheetId="1">'01'!$A$1:$D$45</definedName>
    <definedName name="_xlnm.Print_Area" localSheetId="3">'02'!$A$1:$D$38</definedName>
    <definedName name="_xlnm.Print_Area" localSheetId="5">'03'!$A$1:$D$42</definedName>
    <definedName name="_xlnm.Print_Area" localSheetId="7">'04'!$A$1:$D$44</definedName>
    <definedName name="_xlnm.Print_Area" localSheetId="9">'05'!$A$1:$D$36</definedName>
    <definedName name="_xlnm.Print_Area" localSheetId="8">'CLOTURE-SERRURERIE'!$A$1:$F$45</definedName>
    <definedName name="_xlnm.Print_Area" localSheetId="6">'ELECTRICITE-VIDEO'!$A$1:$F$41</definedName>
    <definedName name="_xlnm.Print_Area" localSheetId="4">'GC-BÂTIMENT'!$A$1:$F$20</definedName>
    <definedName name="_xlnm.Print_Area" localSheetId="10">'GESTION ACCES'!$A$1:$F$15</definedName>
    <definedName name="_xlnm.Print_Area" localSheetId="2">'TERR-VRD'!$A$1:$F$101</definedName>
    <definedName name="_xlnm.Print_Area" localSheetId="0">TOTAL!$A$1:$D$41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7" l="1"/>
  <c r="F36" i="17"/>
  <c r="F28" i="17"/>
  <c r="F26" i="17"/>
  <c r="F25" i="17"/>
  <c r="F70" i="3"/>
  <c r="A23" i="8"/>
  <c r="F45" i="18"/>
  <c r="F44" i="18" l="1"/>
  <c r="F47" i="18" s="1"/>
  <c r="B23" i="8" s="1"/>
  <c r="M54" i="3"/>
  <c r="M53" i="3"/>
  <c r="M47" i="3"/>
  <c r="M41" i="3"/>
  <c r="M39" i="3"/>
  <c r="M43" i="3" s="1"/>
  <c r="M33" i="3"/>
  <c r="M36" i="3" s="1"/>
  <c r="M27" i="3"/>
  <c r="M30" i="3" s="1"/>
  <c r="M22" i="3"/>
  <c r="M24" i="3" s="1"/>
  <c r="M34" i="3" l="1"/>
  <c r="M42" i="3"/>
  <c r="M40" i="3"/>
  <c r="M28" i="3"/>
  <c r="M29" i="3"/>
  <c r="M35" i="3"/>
  <c r="D26" i="3" l="1"/>
  <c r="F41" i="3" l="1"/>
  <c r="D11" i="17" l="1"/>
  <c r="D98" i="3"/>
  <c r="D48" i="17"/>
  <c r="D95" i="3"/>
  <c r="D97" i="3"/>
  <c r="D10" i="14"/>
  <c r="D9" i="17"/>
  <c r="D10" i="17"/>
  <c r="F10" i="17" s="1"/>
  <c r="F12" i="14"/>
  <c r="F39" i="17"/>
  <c r="D64" i="3"/>
  <c r="D65" i="3"/>
  <c r="D42" i="17" l="1"/>
  <c r="F12" i="3" l="1"/>
  <c r="H14" i="3" l="1"/>
  <c r="H15" i="3"/>
  <c r="H16" i="3" s="1"/>
  <c r="H18" i="3"/>
  <c r="H19" i="3" s="1"/>
  <c r="H24" i="3"/>
  <c r="H25" i="3" s="1"/>
  <c r="H30" i="3"/>
  <c r="H31" i="3" s="1"/>
  <c r="H9" i="3"/>
  <c r="H11" i="3"/>
  <c r="D23" i="3"/>
  <c r="H10" i="3" l="1"/>
  <c r="H8" i="3" s="1"/>
  <c r="H33" i="3"/>
  <c r="H21" i="3"/>
  <c r="H32" i="3"/>
  <c r="H20" i="3"/>
  <c r="H27" i="3"/>
  <c r="H26" i="3"/>
  <c r="F89" i="3" l="1"/>
  <c r="F90" i="3"/>
  <c r="F11" i="17" l="1"/>
  <c r="D35" i="3"/>
  <c r="D36" i="3"/>
  <c r="D37" i="3"/>
  <c r="D34" i="3" l="1"/>
  <c r="F98" i="3"/>
  <c r="D84" i="3"/>
  <c r="D83" i="3"/>
  <c r="D88" i="3"/>
  <c r="D85" i="3"/>
  <c r="D87" i="3"/>
  <c r="D86" i="3"/>
  <c r="D17" i="18"/>
  <c r="D16" i="18"/>
  <c r="D14" i="18"/>
  <c r="D15" i="18"/>
  <c r="D13" i="18"/>
  <c r="D12" i="18"/>
  <c r="D11" i="18"/>
  <c r="D10" i="18"/>
  <c r="F29" i="18"/>
  <c r="F30" i="18"/>
  <c r="F32" i="18"/>
  <c r="F33" i="18"/>
  <c r="F34" i="18"/>
  <c r="D31" i="18" l="1"/>
  <c r="F31" i="18" s="1"/>
  <c r="D75" i="3"/>
  <c r="F75" i="3" s="1"/>
  <c r="F66" i="3"/>
  <c r="F46" i="3" l="1"/>
  <c r="D13" i="3" l="1"/>
  <c r="F13" i="3" s="1"/>
  <c r="F18" i="3"/>
  <c r="F17" i="3"/>
  <c r="D16" i="3"/>
  <c r="D11" i="3"/>
  <c r="F11" i="3" s="1"/>
  <c r="D10" i="3"/>
  <c r="F10" i="3" s="1"/>
  <c r="F23" i="18" l="1"/>
  <c r="F22" i="18"/>
  <c r="F24" i="18"/>
  <c r="F21" i="18"/>
  <c r="F15" i="18"/>
  <c r="F9" i="14" l="1"/>
  <c r="F11" i="14"/>
  <c r="F41" i="17"/>
  <c r="F96" i="3"/>
  <c r="D38" i="3"/>
  <c r="D48" i="3"/>
  <c r="F48" i="3" s="1"/>
  <c r="D53" i="3"/>
  <c r="F53" i="3" s="1"/>
  <c r="D77" i="3"/>
  <c r="D76" i="3"/>
  <c r="F17" i="18"/>
  <c r="F10" i="18"/>
  <c r="A17" i="20"/>
  <c r="F10" i="14"/>
  <c r="A19" i="20"/>
  <c r="A17" i="22"/>
  <c r="A25" i="7"/>
  <c r="A23" i="7"/>
  <c r="A21" i="7"/>
  <c r="A19" i="7"/>
  <c r="F10" i="21"/>
  <c r="F11" i="21"/>
  <c r="F12" i="21"/>
  <c r="F13" i="21"/>
  <c r="F9" i="21"/>
  <c r="F6" i="21"/>
  <c r="F43" i="17"/>
  <c r="F16" i="3"/>
  <c r="F44" i="3"/>
  <c r="F45" i="3"/>
  <c r="F47" i="3"/>
  <c r="F49" i="3"/>
  <c r="F50" i="3"/>
  <c r="F51" i="3"/>
  <c r="F52" i="3"/>
  <c r="F54" i="3"/>
  <c r="F55" i="3"/>
  <c r="F56" i="3"/>
  <c r="F43" i="3"/>
  <c r="F39" i="3"/>
  <c r="F17" i="14"/>
  <c r="F20" i="18"/>
  <c r="F19" i="18"/>
  <c r="F11" i="18"/>
  <c r="F12" i="18"/>
  <c r="F14" i="18"/>
  <c r="F16" i="18"/>
  <c r="F13" i="18"/>
  <c r="F18" i="18"/>
  <c r="A25" i="9"/>
  <c r="A23" i="9"/>
  <c r="F40" i="17"/>
  <c r="D49" i="17"/>
  <c r="F49" i="17" s="1"/>
  <c r="F48" i="17"/>
  <c r="F31" i="17"/>
  <c r="F30" i="17"/>
  <c r="F27" i="17"/>
  <c r="F18" i="17"/>
  <c r="F17" i="17"/>
  <c r="F16" i="17"/>
  <c r="F51" i="17" l="1"/>
  <c r="B25" i="9" s="1"/>
  <c r="F15" i="21"/>
  <c r="B17" i="22"/>
  <c r="B19" i="9"/>
  <c r="F19" i="3"/>
  <c r="F21" i="3" l="1"/>
  <c r="F14" i="3" l="1"/>
  <c r="F15" i="3"/>
  <c r="F6" i="3" l="1"/>
  <c r="F7" i="3"/>
  <c r="F8" i="3"/>
  <c r="F9" i="3"/>
  <c r="F22" i="3"/>
  <c r="F23" i="3"/>
  <c r="F24" i="3"/>
  <c r="F25" i="3"/>
  <c r="F26" i="3"/>
  <c r="F28" i="3"/>
  <c r="F27" i="3"/>
  <c r="F30" i="3"/>
  <c r="F31" i="3"/>
  <c r="F87" i="3"/>
  <c r="F97" i="3"/>
  <c r="F34" i="17"/>
  <c r="F9" i="17"/>
  <c r="F13" i="17" s="1"/>
  <c r="F6" i="18"/>
  <c r="F7" i="18"/>
  <c r="F8" i="18"/>
  <c r="F9" i="18"/>
  <c r="F25" i="18"/>
  <c r="F35" i="18"/>
  <c r="F39" i="18"/>
  <c r="F41" i="18" s="1"/>
  <c r="F42" i="17"/>
  <c r="F45" i="17" s="1"/>
  <c r="F29" i="17"/>
  <c r="F24" i="17"/>
  <c r="F23" i="17"/>
  <c r="F32" i="17"/>
  <c r="F33" i="17"/>
  <c r="F93" i="3"/>
  <c r="F94" i="3"/>
  <c r="F100" i="3"/>
  <c r="F99" i="3"/>
  <c r="B21" i="9" l="1"/>
  <c r="B17" i="9"/>
  <c r="F20" i="3"/>
  <c r="F29" i="3"/>
  <c r="F26" i="18"/>
  <c r="F36" i="18"/>
  <c r="A29" i="2" l="1"/>
  <c r="A27" i="2"/>
  <c r="A25" i="2"/>
  <c r="A23" i="2"/>
  <c r="F32" i="3"/>
  <c r="F33" i="3"/>
  <c r="F35" i="3"/>
  <c r="F36" i="3"/>
  <c r="F37" i="3"/>
  <c r="F38" i="3"/>
  <c r="F40" i="3"/>
  <c r="F42" i="3"/>
  <c r="F57" i="3"/>
  <c r="F58" i="3"/>
  <c r="F59" i="3"/>
  <c r="F60" i="3"/>
  <c r="F86" i="3"/>
  <c r="F85" i="3"/>
  <c r="F34" i="3"/>
  <c r="F91" i="3"/>
  <c r="F88" i="3"/>
  <c r="F84" i="3"/>
  <c r="F83" i="3"/>
  <c r="F82" i="3"/>
  <c r="F81" i="3"/>
  <c r="F78" i="3"/>
  <c r="F76" i="3"/>
  <c r="F77" i="3"/>
  <c r="F79" i="3"/>
  <c r="F74" i="3"/>
  <c r="F73" i="3"/>
  <c r="F71" i="3"/>
  <c r="F62" i="3"/>
  <c r="F63" i="3"/>
  <c r="F64" i="3"/>
  <c r="F65" i="3"/>
  <c r="F95" i="3"/>
  <c r="F101" i="3" s="1"/>
  <c r="F67" i="3"/>
  <c r="A21" i="8"/>
  <c r="A19" i="8"/>
  <c r="B21" i="8"/>
  <c r="F92" i="3" l="1"/>
  <c r="B27" i="2" s="1"/>
  <c r="F80" i="3"/>
  <c r="B25" i="2" s="1"/>
  <c r="F72" i="3"/>
  <c r="B23" i="2" s="1"/>
  <c r="F61" i="3"/>
  <c r="A17" i="8" l="1"/>
  <c r="B19" i="8"/>
  <c r="A21" i="9"/>
  <c r="A17" i="9"/>
  <c r="A19" i="9"/>
  <c r="F18" i="14"/>
  <c r="F6" i="14"/>
  <c r="F14" i="14" l="1"/>
  <c r="B17" i="20" s="1"/>
  <c r="F20" i="14"/>
  <c r="B19" i="20" s="1"/>
  <c r="B23" i="9"/>
  <c r="B28" i="9" s="1"/>
  <c r="B20" i="22"/>
  <c r="B22" i="20" l="1"/>
  <c r="B24" i="20" s="1"/>
  <c r="B26" i="20" s="1"/>
  <c r="B30" i="9"/>
  <c r="B32" i="9" s="1"/>
  <c r="B23" i="7"/>
  <c r="B25" i="7"/>
  <c r="B22" i="22"/>
  <c r="B24" i="22" s="1"/>
  <c r="B17" i="8"/>
  <c r="B26" i="8" s="1"/>
  <c r="B21" i="7" s="1"/>
  <c r="B19" i="7" l="1"/>
  <c r="B28" i="8"/>
  <c r="B30" i="8" s="1"/>
  <c r="B29" i="2"/>
  <c r="B21" i="2" l="1"/>
  <c r="A17" i="7" l="1"/>
  <c r="A19" i="2" l="1"/>
  <c r="A17" i="2"/>
  <c r="A21" i="2"/>
  <c r="B17" i="2" l="1"/>
  <c r="B19" i="2"/>
  <c r="B32" i="2" l="1"/>
  <c r="B17" i="7" s="1"/>
  <c r="B28" i="7" s="1"/>
  <c r="B30" i="7" s="1"/>
  <c r="B32" i="7" s="1"/>
  <c r="B34" i="2" l="1"/>
  <c r="B36" i="2" s="1"/>
</calcChain>
</file>

<file path=xl/sharedStrings.xml><?xml version="1.0" encoding="utf-8"?>
<sst xmlns="http://schemas.openxmlformats.org/spreadsheetml/2006/main" count="678" uniqueCount="355">
  <si>
    <t>P.U ht</t>
  </si>
  <si>
    <t>Article</t>
  </si>
  <si>
    <t>Nature des travaux</t>
  </si>
  <si>
    <t>Quantité</t>
  </si>
  <si>
    <t>Montant HT</t>
  </si>
  <si>
    <t xml:space="preserve">MONTANT TOTAL H.T. : </t>
  </si>
  <si>
    <t xml:space="preserve">MONTANT TOTAL T.T.C. : </t>
  </si>
  <si>
    <t>Complété par mes prix</t>
  </si>
  <si>
    <t xml:space="preserve">A </t>
  </si>
  <si>
    <t xml:space="preserve">Le </t>
  </si>
  <si>
    <t>L'entrepreneur</t>
  </si>
  <si>
    <t>Le quantitatif arrêté contractuellement est réputé vérifié par l'entreprise. Il ne pourra être contesté après la signature du marché de travaux.</t>
  </si>
  <si>
    <t xml:space="preserve">  </t>
  </si>
  <si>
    <t xml:space="preserve">Sous Total A : </t>
  </si>
  <si>
    <t>Sous Total B :</t>
  </si>
  <si>
    <t>Sous Total C :</t>
  </si>
  <si>
    <t>T.V.A. 20 %</t>
  </si>
  <si>
    <t>A - TRAVAUX PREPARATOIRES</t>
  </si>
  <si>
    <t>B - TERRASSEMENTS</t>
  </si>
  <si>
    <t>forfait</t>
  </si>
  <si>
    <t>ml</t>
  </si>
  <si>
    <t>m2</t>
  </si>
  <si>
    <t>m3</t>
  </si>
  <si>
    <t>u</t>
  </si>
  <si>
    <t>Sous Total D :</t>
  </si>
  <si>
    <t>C - RESEAUX D'EAUX PLUVIALES</t>
  </si>
  <si>
    <t>Sous Total A :</t>
  </si>
  <si>
    <t>B - PORTAILS</t>
  </si>
  <si>
    <t>A - CLÔTURES</t>
  </si>
  <si>
    <t>Sous Total E :</t>
  </si>
  <si>
    <t>Plantation haie mélifère</t>
  </si>
  <si>
    <t>Mise en sécurité</t>
  </si>
  <si>
    <t>Mise à la terre</t>
  </si>
  <si>
    <t>Commande et raccordement de l'éclairage extérieur</t>
  </si>
  <si>
    <t>C - PANNEAUX DE SIGNALISATION</t>
  </si>
  <si>
    <t>A - ELECTRICITE</t>
  </si>
  <si>
    <t>B - ECLAIRAGE EXTERIEUR</t>
  </si>
  <si>
    <t>Socle d'ancrage pour candélabre</t>
  </si>
  <si>
    <t>Candélabre double feux</t>
  </si>
  <si>
    <t>D - RESEAUX D'EAUX USEES</t>
  </si>
  <si>
    <t>Plus-Value remblaiement de tranchée GNT 0/80</t>
  </si>
  <si>
    <t>Canalisation PVC Ø200 mm</t>
  </si>
  <si>
    <t>Canalisation PVC Ø250 mm</t>
  </si>
  <si>
    <t>Regard de visite Ø1000 pour prélèvement</t>
  </si>
  <si>
    <t>Regard pied de chute EP</t>
  </si>
  <si>
    <t>Regard à grille 50x50</t>
  </si>
  <si>
    <t>Tampon fonte 125 KN</t>
  </si>
  <si>
    <t>Contrôle du réseau EP</t>
  </si>
  <si>
    <t>Canalisation PVC Ø160</t>
  </si>
  <si>
    <t>Contrôle du réseau EU</t>
  </si>
  <si>
    <t>E - RESEAUX D'EAU POTABLE</t>
  </si>
  <si>
    <t>Canalisation PEHD Ø28,4/32</t>
  </si>
  <si>
    <t>F - RESEAUX SECS</t>
  </si>
  <si>
    <t>Sous Total F :</t>
  </si>
  <si>
    <t>Plus value pour découpe, démolition et refection du revêtement</t>
  </si>
  <si>
    <t>Sous Total G :</t>
  </si>
  <si>
    <t>Contrôle du compactage</t>
  </si>
  <si>
    <t>Bâche incendie 120 m3, y compris lit de pose et bouche d'aspiration</t>
  </si>
  <si>
    <t>Marquage au sol</t>
  </si>
  <si>
    <t>Séparateur hydrocarbures 15 l/s by-pass</t>
  </si>
  <si>
    <t>Fourreau TPC Ø63 + Cable de terre pour éclairage</t>
  </si>
  <si>
    <t>Fourreau PVC Ø42,6/50 pour télécom</t>
  </si>
  <si>
    <t>Tampon fonte 400 KN</t>
  </si>
  <si>
    <t>Dépose du portail</t>
  </si>
  <si>
    <t>Réalisation d'un engazonnement soigné</t>
  </si>
  <si>
    <t>Plus-value remblaiement GNT 0/80</t>
  </si>
  <si>
    <t>Fouille pour canalisation EP diam inférieur ou égal à 400 mm</t>
  </si>
  <si>
    <t>Fourniture et mise en place d'un géotextile classe 6</t>
  </si>
  <si>
    <t>G - REVETEMENTS DE SURFACES</t>
  </si>
  <si>
    <t>Installation de chantier</t>
  </si>
  <si>
    <t>Découpe de revêtement de chaussée</t>
  </si>
  <si>
    <t>Dépose des panneaux de signalisation</t>
  </si>
  <si>
    <t>Nettoyage et préparation de terrain</t>
  </si>
  <si>
    <t>Fouille pour conduite AEP</t>
  </si>
  <si>
    <t>DEPARTEMENT DE LA CÔTE D'OR</t>
  </si>
  <si>
    <t>COMMUNE DE PONTAILLER-SUR-SAÔNE</t>
  </si>
  <si>
    <t>ANCIENNE ROUTE NATIONALE</t>
  </si>
  <si>
    <t>21130 - AUXONNE</t>
  </si>
  <si>
    <t>CC AUXONNE-PONTAILLER VAL DE SAÔNE</t>
  </si>
  <si>
    <t>Affaire n°21-433 - Réaménagement et mise en conformité de la déchèterie de Pontailler-sur-Saône</t>
  </si>
  <si>
    <t>E - ESPACES VERTS</t>
  </si>
  <si>
    <t>D - EQUIPEMENTS DIVERS</t>
  </si>
  <si>
    <t>Bavette pour mur de quai standard 1,20 x 0,73m</t>
  </si>
  <si>
    <t>Sabot pour butée arrière de benne (la paire)</t>
  </si>
  <si>
    <t>Protection latérale de quai</t>
  </si>
  <si>
    <t>Câble d'alimentation éclairage</t>
  </si>
  <si>
    <t>Fourniture et pose de bordure type T2 béton</t>
  </si>
  <si>
    <r>
      <t xml:space="preserve">Fourniture et mise en place d'une </t>
    </r>
    <r>
      <rPr>
        <sz val="10"/>
        <color rgb="FF000000"/>
        <rFont val="Tahoma"/>
        <family val="2"/>
      </rPr>
      <t>couche de réglage GC 0/31</t>
    </r>
    <r>
      <rPr>
        <sz val="10"/>
        <color indexed="8"/>
        <rFont val="Tahoma"/>
        <family val="2"/>
      </rPr>
      <t>,5</t>
    </r>
  </si>
  <si>
    <t>Fouille pour canalisation EU diam inférieur ou égal à 300 mm</t>
  </si>
  <si>
    <t>Boîte de branchement EU CB40</t>
  </si>
  <si>
    <t>Tête de pont</t>
  </si>
  <si>
    <t>Raccordement sur bassin étanche</t>
  </si>
  <si>
    <t>Etanchéité du bassin</t>
  </si>
  <si>
    <t>Regard 50x50</t>
  </si>
  <si>
    <t>Regard 30x30</t>
  </si>
  <si>
    <t>Dépose de clôture</t>
  </si>
  <si>
    <t>Dépose soignée et repose de mât déclairage</t>
  </si>
  <si>
    <t>Bac récupérateur huile, y compris étanchéité du bac à sable</t>
  </si>
  <si>
    <t>LOT 05 - GESTION ACCES</t>
  </si>
  <si>
    <t>Massif pour barrière levante et borne de badgeage</t>
  </si>
  <si>
    <t xml:space="preserve">Fourniture et pose barrière levante 5,00m, y compris boucle </t>
  </si>
  <si>
    <t xml:space="preserve">Fourniture et pose barrière levante 6,00m, y compris boucle </t>
  </si>
  <si>
    <t>Câble de renvoi de données</t>
  </si>
  <si>
    <t>LOT 03 - ELECTRICITE - ECLAIRAGE - VIDEOSURVEILLANCE</t>
  </si>
  <si>
    <t>LOT 04 - CLÔTURE - SERRURRERIE - ESPACES VERTS</t>
  </si>
  <si>
    <t>LOT 02 - GENIE CIVIL - BÂTIMENT</t>
  </si>
  <si>
    <t>Lot n°02 - Génie civil - Bâtiment</t>
  </si>
  <si>
    <t>5.5.2</t>
  </si>
  <si>
    <t>Lot n°04 - Clôture - serrurrerie - espaces verts</t>
  </si>
  <si>
    <t>Clôture panneaux rigide ht = 2,00m</t>
  </si>
  <si>
    <t>Portail coulissant manuel 7,00m de passage ht = 2,00m, y compris massifs</t>
  </si>
  <si>
    <t>Portail double battants 5,00m de passage ht = 2,00m, y compris massifs</t>
  </si>
  <si>
    <t>Portail double battants 3,50m de passage ht = 2,00m, y compris massifs</t>
  </si>
  <si>
    <t>Panneau "risque de chute"</t>
  </si>
  <si>
    <t>Panneau interdiction de fumer</t>
  </si>
  <si>
    <t>Panneau numéro de quai</t>
  </si>
  <si>
    <t>LOT 01 - TERRASSEMENT - VRD</t>
  </si>
  <si>
    <t>A - GESTION D'ACCES</t>
  </si>
  <si>
    <t>Lot n°05 - Gestion d'accès</t>
  </si>
  <si>
    <t>Lot n°03 - Electricité - Eclairage - Vidéosurveillance</t>
  </si>
  <si>
    <t>A - GENIE CIVIL</t>
  </si>
  <si>
    <t>Lot n°01 - Terrassements - VRD</t>
  </si>
  <si>
    <t>5.5.3</t>
  </si>
  <si>
    <t>5.5.4</t>
  </si>
  <si>
    <t>5.5.5</t>
  </si>
  <si>
    <t>5.4.2</t>
  </si>
  <si>
    <t>5.4.3</t>
  </si>
  <si>
    <t>5.4.5</t>
  </si>
  <si>
    <t>5.4.16</t>
  </si>
  <si>
    <t>5.4.22</t>
  </si>
  <si>
    <t>Couche de roulement BBSG 0/10 ép. = 6cm</t>
  </si>
  <si>
    <t>5.4.4</t>
  </si>
  <si>
    <t>5.4.6</t>
  </si>
  <si>
    <t>5.4.7</t>
  </si>
  <si>
    <t>5.4.8</t>
  </si>
  <si>
    <t>5.4.9</t>
  </si>
  <si>
    <t>5.4.10</t>
  </si>
  <si>
    <t>5.4.11</t>
  </si>
  <si>
    <t>5.4.12</t>
  </si>
  <si>
    <t>5.4.13</t>
  </si>
  <si>
    <t>5.4.14</t>
  </si>
  <si>
    <t>5.4.15</t>
  </si>
  <si>
    <t>5.4.17</t>
  </si>
  <si>
    <t>5.4.18</t>
  </si>
  <si>
    <t>5.4.19</t>
  </si>
  <si>
    <t>5.4.20</t>
  </si>
  <si>
    <t>5.4.21</t>
  </si>
  <si>
    <t>5.4.23</t>
  </si>
  <si>
    <t>Protection arrière pour mur de quai (la paire)</t>
  </si>
  <si>
    <t>5.3.1</t>
  </si>
  <si>
    <t>5.3.2</t>
  </si>
  <si>
    <t>5.3.3</t>
  </si>
  <si>
    <t>5.3.4</t>
  </si>
  <si>
    <t>5.3.5</t>
  </si>
  <si>
    <t>5.3.6</t>
  </si>
  <si>
    <t>5.3.16</t>
  </si>
  <si>
    <t>Raccordement électrique pour la gestion d'accès</t>
  </si>
  <si>
    <t>5.1.1</t>
  </si>
  <si>
    <t>Réhausse des murs de quais existants</t>
  </si>
  <si>
    <t>Dallage en béton armé ép. 20 cm, y compris bêche périphérique</t>
  </si>
  <si>
    <t>Câble d'alimentation du local DEEE</t>
  </si>
  <si>
    <t>Câble d'alimentation du local DDSM</t>
  </si>
  <si>
    <t>Câble d'alimentation de l'espace huiles/pneus</t>
  </si>
  <si>
    <t>Câble d'alimentation du local nettoyeur haute-pression</t>
  </si>
  <si>
    <t>Câble d'alimentation de la gestion d'accès</t>
  </si>
  <si>
    <t>Câble d'alimentation de l'alarme du séparateur</t>
  </si>
  <si>
    <t>Raccordement et installation électrique du local gardien</t>
  </si>
  <si>
    <t>Raccordement et installation électrique du local DEEE</t>
  </si>
  <si>
    <t>Raccordement et installation électrique du local DDSM</t>
  </si>
  <si>
    <t xml:space="preserve">Raccordement et installation électrique du local ressourcerie </t>
  </si>
  <si>
    <t>Câble d'alimentation du local ressourcerie</t>
  </si>
  <si>
    <t>Raccordement et installation électrique de l'espace pneus/huiles</t>
  </si>
  <si>
    <t>Raccordement et installation électrique du local nettoyeur haute-pression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</si>
  <si>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</si>
  <si>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</si>
  <si>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</si>
  <si>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</si>
  <si>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</si>
  <si>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</si>
  <si>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</si>
  <si>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</si>
  <si>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</si>
  <si>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5.3.18</t>
  </si>
  <si>
    <t>5.3.19</t>
  </si>
  <si>
    <t>5.3.20</t>
  </si>
  <si>
    <t>5.3.21</t>
  </si>
  <si>
    <t>5.3.22</t>
  </si>
  <si>
    <t>5.2.1</t>
  </si>
  <si>
    <t>5.2.2</t>
  </si>
  <si>
    <t>5.2.3</t>
  </si>
  <si>
    <t>5.2.4</t>
  </si>
  <si>
    <t>5.2.5</t>
  </si>
  <si>
    <t>B - BÂTIMENTS</t>
  </si>
  <si>
    <t>Local gardien</t>
  </si>
  <si>
    <t>Démolition de revêtement en enrobé</t>
  </si>
  <si>
    <t>Démolition de revêtement en béton y compris réhausse gravats</t>
  </si>
  <si>
    <t>Dépose, sans repose de bordures</t>
  </si>
  <si>
    <t>Mise à niveau de regard</t>
  </si>
  <si>
    <t>Clapet anti-retour pour raccordement au fossé</t>
  </si>
  <si>
    <t>Canalisation béton pour busage fossé</t>
  </si>
  <si>
    <r>
      <t>Regard</t>
    </r>
    <r>
      <rPr>
        <sz val="10"/>
        <color indexed="8"/>
        <rFont val="Tahoma"/>
        <family val="2"/>
      </rPr>
      <t xml:space="preserve"> de visite Ø1000</t>
    </r>
  </si>
  <si>
    <r>
      <t>Regard</t>
    </r>
    <r>
      <rPr>
        <sz val="10"/>
        <color indexed="8"/>
        <rFont val="Tahoma"/>
        <family val="2"/>
      </rPr>
      <t xml:space="preserve"> de visite 1000x1000 avec vanne de coupure</t>
    </r>
  </si>
  <si>
    <t>Caniveau à grille fonte 250 kN</t>
  </si>
  <si>
    <t>Caniveau à grille fonte 400 kN</t>
  </si>
  <si>
    <t>Raccordement EP sur regard EP existant</t>
  </si>
  <si>
    <t>Marchelier en caoutchouc (PEHD)</t>
  </si>
  <si>
    <t>Echelle à rongeurs (PEHD)</t>
  </si>
  <si>
    <t>locaux DDSM, DEEE, ressourcerie, pneus, huiles, rangement, nettoyeur haute-pression</t>
  </si>
  <si>
    <t>Fourreau TPC Ø63 pour électricité (barrières levantes, badgeage, séparateur)</t>
  </si>
  <si>
    <t>Fourreau TPC Ø90 pour électricité (portail coulissant, alimentation principale)</t>
  </si>
  <si>
    <t>Fouille en tranchée 70x80 cm</t>
  </si>
  <si>
    <t>Raccordement sur regard existant</t>
  </si>
  <si>
    <t>Clôture barbelé agricole ht = 1,20m</t>
  </si>
  <si>
    <t>Regard de visite Ø1000 avec régulateur de débit 15 l/s</t>
  </si>
  <si>
    <t>Canalisation PE Ø400 mm</t>
  </si>
  <si>
    <t>5.1.5</t>
  </si>
  <si>
    <t>5.1.6</t>
  </si>
  <si>
    <t>5.1.7</t>
  </si>
  <si>
    <t>5.1.8</t>
  </si>
  <si>
    <t>5.1.9</t>
  </si>
  <si>
    <t>5.1.10</t>
  </si>
  <si>
    <t>5.1.11</t>
  </si>
  <si>
    <t>5.1.15</t>
  </si>
  <si>
    <t>5.1.23</t>
  </si>
  <si>
    <t>5.1.51</t>
  </si>
  <si>
    <t>5.1.56</t>
  </si>
  <si>
    <t>5.1.60</t>
  </si>
  <si>
    <t>Décapage de la terre végétale sur ép. moy. 20 cm et mise en dépôt sur site</t>
  </si>
  <si>
    <t>Géotextile</t>
  </si>
  <si>
    <t xml:space="preserve">Terrassement sur 70cm </t>
  </si>
  <si>
    <t xml:space="preserve">GNT 0/80 sur 55cm </t>
  </si>
  <si>
    <t>Voie de sortie (structure complète) :</t>
  </si>
  <si>
    <t xml:space="preserve">Terrassement sur 20cm </t>
  </si>
  <si>
    <t>décroutage enrobé sur 5-6 cm</t>
  </si>
  <si>
    <t xml:space="preserve"> réglage GC 0/31,5 sur 5cm </t>
  </si>
  <si>
    <t xml:space="preserve">Réglage GC 0/31,5 sur 5cm </t>
  </si>
  <si>
    <t>Dallage benns à quais (structure existante) :</t>
  </si>
  <si>
    <t>décroutage dallage sur 20 cm</t>
  </si>
  <si>
    <t>regargement moyen GC 0/31,5 sur 50cm /TN</t>
  </si>
  <si>
    <t>Voie d'entrée usagers (structure complète) :</t>
  </si>
  <si>
    <t>Voie d'entrée prestataires (structure complète) :</t>
  </si>
  <si>
    <t xml:space="preserve">Total déblais (fichier Excel DR): </t>
  </si>
  <si>
    <t xml:space="preserve">Total remblais (fichier Excel DR): </t>
  </si>
  <si>
    <t>Grave Non Traitée 0/80 sur une épaisseur variable</t>
  </si>
  <si>
    <t>Terrassement pleine masse évacué</t>
  </si>
  <si>
    <t>Remblais bassin + cheminement concassé</t>
  </si>
  <si>
    <t>GNT 0/80</t>
  </si>
  <si>
    <t>Remblais sous bâtiment</t>
  </si>
  <si>
    <t>GNT 0/31,5</t>
  </si>
  <si>
    <t>Remblais sous dallage béton PAV</t>
  </si>
  <si>
    <t>Remblais voirie enrobé bas de quais</t>
  </si>
  <si>
    <t>GNT 0/31,3</t>
  </si>
  <si>
    <t>Total Remblais voirie enrobé</t>
  </si>
  <si>
    <t>Remblais benne tampon</t>
  </si>
  <si>
    <t>5.1.12</t>
  </si>
  <si>
    <t>5.1.13</t>
  </si>
  <si>
    <t>5.1.14</t>
  </si>
  <si>
    <t>5.1.16</t>
  </si>
  <si>
    <t>5.1.17</t>
  </si>
  <si>
    <t>5.1.18</t>
  </si>
  <si>
    <t>5.1.19</t>
  </si>
  <si>
    <t>5.1.20</t>
  </si>
  <si>
    <t>5.1.21</t>
  </si>
  <si>
    <t>5.1.22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</si>
  <si>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</si>
  <si>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</si>
  <si>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</si>
  <si>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</si>
  <si>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</si>
  <si>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</si>
  <si>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</si>
  <si>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</si>
  <si>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</si>
  <si>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</si>
  <si>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</si>
  <si>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5.1.35</t>
  </si>
  <si>
    <t>5.1.36</t>
  </si>
  <si>
    <t>5.1.37</t>
  </si>
  <si>
    <t>5.1.38</t>
  </si>
  <si>
    <t>5.1.39</t>
  </si>
  <si>
    <t>5.1.40</t>
  </si>
  <si>
    <t>5.1.41</t>
  </si>
  <si>
    <t>5.1.42</t>
  </si>
  <si>
    <t>5.1.43</t>
  </si>
  <si>
    <t>5.1.44</t>
  </si>
  <si>
    <t>5.1.45</t>
  </si>
  <si>
    <t>5.1.46</t>
  </si>
  <si>
    <t>5.1.47</t>
  </si>
  <si>
    <t>5.1.48</t>
  </si>
  <si>
    <t>5.1.49</t>
  </si>
  <si>
    <t>5.1.50</t>
  </si>
  <si>
    <t>5.1.52</t>
  </si>
  <si>
    <t>5.1.53</t>
  </si>
  <si>
    <t>5.1.54</t>
  </si>
  <si>
    <t>5.1.55</t>
  </si>
  <si>
    <t>5.1.57</t>
  </si>
  <si>
    <t>5.1.58</t>
  </si>
  <si>
    <t>5.1.59</t>
  </si>
  <si>
    <t>5.1.61</t>
  </si>
  <si>
    <t>5.1.62</t>
  </si>
  <si>
    <t>5.1.63</t>
  </si>
  <si>
    <t>5.1.64</t>
  </si>
  <si>
    <t>5.1.65</t>
  </si>
  <si>
    <t>5.1.66</t>
  </si>
  <si>
    <t>Contrôle de conformité</t>
  </si>
  <si>
    <t>Etudes d'exécution, études béton armé</t>
  </si>
  <si>
    <t>C - CONTRÔLE DE CONFORMITE</t>
  </si>
  <si>
    <t>5.4.1</t>
  </si>
  <si>
    <t>5.5.1</t>
  </si>
  <si>
    <t>Clôture treillis soudés en rouleux ht = 2,00m</t>
  </si>
  <si>
    <r>
      <t>Maître d'Ouvrage</t>
    </r>
    <r>
      <rPr>
        <b/>
        <sz val="8"/>
        <rFont val="Arial"/>
        <family val="2"/>
      </rPr>
      <t xml:space="preserve"> :</t>
    </r>
  </si>
  <si>
    <t>Fourniture et pose borne badgeage</t>
  </si>
  <si>
    <t>Réaménagement et mise en conformité de la déchèterie de Pontailler-sur-Saône</t>
  </si>
  <si>
    <r>
      <t>P</t>
    </r>
    <r>
      <rPr>
        <sz val="10"/>
        <color rgb="FF000000"/>
        <rFont val="Arial"/>
        <family val="2"/>
      </rPr>
      <t>anneau "Réserve incendie 120 m3"</t>
    </r>
  </si>
  <si>
    <t>panneau de signalisation "STOP"</t>
  </si>
  <si>
    <t>Panneau de signalisation "sens interdit" + panonceau "sauf service"</t>
  </si>
  <si>
    <r>
      <t>P</t>
    </r>
    <r>
      <rPr>
        <sz val="10"/>
        <color rgb="FF000000"/>
        <rFont val="Arial"/>
        <family val="2"/>
      </rPr>
      <t>anneau d'indication "vanne de coupure"</t>
    </r>
  </si>
  <si>
    <t>Panneau de signalisation "limitation de vitesse 10 km/h"</t>
  </si>
  <si>
    <t>5.3.17</t>
  </si>
  <si>
    <t>5.3.23</t>
  </si>
  <si>
    <t>Câble d'alimentation générale</t>
  </si>
  <si>
    <t>5.2.6</t>
  </si>
  <si>
    <t xml:space="preserve">Remise en état des murs de quais y compris réhausse gravats </t>
  </si>
  <si>
    <t>Mise en œuvre de la terre végétale, ép moyenne 20cm</t>
  </si>
  <si>
    <t>5.1.2</t>
  </si>
  <si>
    <t>5.1.3</t>
  </si>
  <si>
    <t>5.1.4</t>
  </si>
  <si>
    <t>Déplacement des locaux existants</t>
  </si>
  <si>
    <t>Cuve de récupération des eaux pluviales 4 m3</t>
  </si>
  <si>
    <t xml:space="preserve">Siphon de sol </t>
  </si>
  <si>
    <t>Dallage bennes à quais (structure existante) :</t>
  </si>
  <si>
    <t>décroutage dallage sur 20 cm (hors réhausse gravats)</t>
  </si>
  <si>
    <t>Total remblais GNT 0/31,5</t>
  </si>
  <si>
    <t>supplément remblais moyen 1m sur 90 m²</t>
  </si>
  <si>
    <t xml:space="preserve">Total déblais (fichier DR) : </t>
  </si>
  <si>
    <t xml:space="preserve">Total remblais (fichier DR) : </t>
  </si>
  <si>
    <t>Total remblais GNT 0/80</t>
  </si>
  <si>
    <t>Dechetterie (structure complète) :</t>
  </si>
  <si>
    <t>surface</t>
  </si>
  <si>
    <t>réglage GNT 0/31,5</t>
  </si>
  <si>
    <t>D - VIDEOSURVEILLANCE</t>
  </si>
  <si>
    <t>pm</t>
  </si>
  <si>
    <t>5.3.24</t>
  </si>
  <si>
    <t>5.3.25</t>
  </si>
  <si>
    <t>Fourniture et mise en place d'un système de vidéosurveillance</t>
  </si>
  <si>
    <t>Câble courant faible vidéosurveillance</t>
  </si>
  <si>
    <t>Filtre à sable vertical drainé</t>
  </si>
  <si>
    <t>PM non totalisé</t>
  </si>
  <si>
    <t>Panneau information générale d'entrée de site</t>
  </si>
  <si>
    <t>Panneau complémentaires pour quais</t>
  </si>
  <si>
    <t>Panneau principal ADEME</t>
  </si>
  <si>
    <t>Panneaux  secondaires</t>
  </si>
  <si>
    <t>5.4.24</t>
  </si>
  <si>
    <t>5.4.25</t>
  </si>
  <si>
    <t>5.1.67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</si>
</sst>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€&quot;;\-#,##0.00&quot; €&quot;"/>
    <numFmt numFmtId="165" formatCode="#,##0.00\ &quot;€&quot;"/>
    <numFmt numFmtId="166" formatCode="_-* #,##0.00\ _€_-;\-* #,##0.00\ _€_-;_-* &quot;-&quot;??\ _€_-;_-@_-"/>
  </numFmts>
  <fonts count="40" x14ac:knownFonts="1">
    <font>
      <sz val="10"/>
      <name val="Helv"/>
    </font>
    <font>
      <sz val="10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b/>
      <i/>
      <sz val="10"/>
      <name val="Tahoma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Tahoma"/>
      <family val="2"/>
    </font>
    <font>
      <sz val="10"/>
      <color indexed="8"/>
      <name val="MS Sans Serif"/>
    </font>
    <font>
      <sz val="10"/>
      <color indexed="8"/>
      <name val="Tahoma"/>
      <family val="2"/>
    </font>
    <font>
      <b/>
      <sz val="16"/>
      <color indexed="62"/>
      <name val="Arial"/>
      <family val="2"/>
    </font>
    <font>
      <sz val="10"/>
      <name val="Helv"/>
    </font>
    <font>
      <b/>
      <sz val="10"/>
      <color indexed="8"/>
      <name val="Tahoma"/>
      <family val="2"/>
    </font>
    <font>
      <b/>
      <sz val="10"/>
      <name val="Arial"/>
      <family val="2"/>
    </font>
    <font>
      <sz val="8"/>
      <name val="Helv"/>
    </font>
    <font>
      <sz val="10"/>
      <color rgb="FF000000"/>
      <name val="Tahoma"/>
      <family val="2"/>
    </font>
    <font>
      <u/>
      <sz val="10"/>
      <name val="Tahoma"/>
      <family val="2"/>
    </font>
    <font>
      <sz val="9"/>
      <name val="Arial"/>
      <family val="2"/>
    </font>
    <font>
      <sz val="12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2"/>
      <color indexed="62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10"/>
      <color indexed="62"/>
      <name val="Arial"/>
      <family val="2"/>
    </font>
    <font>
      <b/>
      <sz val="14"/>
      <color indexed="62"/>
      <name val="Arial"/>
      <family val="2"/>
    </font>
    <font>
      <sz val="14"/>
      <name val="Arial"/>
      <family val="2"/>
    </font>
    <font>
      <sz val="2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indexed="62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rgb="FF00B0F0"/>
      <name val="Tahoma"/>
      <family val="2"/>
    </font>
    <font>
      <sz val="10"/>
      <color rgb="FF00B05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8" fillId="0" borderId="0" applyNumberFormat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5" fillId="0" borderId="0"/>
    <xf numFmtId="43" fontId="11" fillId="0" borderId="0" applyFont="0" applyFill="0" applyBorder="0" applyAlignment="0" applyProtection="0"/>
  </cellStyleXfs>
  <cellXfs count="199">
    <xf numFmtId="0" fontId="0" fillId="0" borderId="0" xfId="0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1" applyFont="1" applyFill="1" applyAlignment="1" applyProtection="1">
      <alignment vertical="center"/>
      <protection locked="0"/>
    </xf>
    <xf numFmtId="0" fontId="13" fillId="0" borderId="0" xfId="1" applyFont="1" applyFill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1" fontId="4" fillId="0" borderId="0" xfId="3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shrinkToFit="1"/>
    </xf>
    <xf numFmtId="165" fontId="7" fillId="0" borderId="5" xfId="0" applyNumberFormat="1" applyFont="1" applyBorder="1" applyAlignment="1">
      <alignment horizontal="right" vertical="center"/>
    </xf>
    <xf numFmtId="1" fontId="1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165" fontId="1" fillId="0" borderId="5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9" fillId="0" borderId="0" xfId="1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shrinkToFit="1"/>
    </xf>
    <xf numFmtId="0" fontId="1" fillId="0" borderId="11" xfId="0" applyFont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0" fontId="12" fillId="0" borderId="6" xfId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right" vertical="center"/>
    </xf>
    <xf numFmtId="1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 shrinkToFit="1"/>
    </xf>
    <xf numFmtId="165" fontId="1" fillId="0" borderId="7" xfId="0" applyNumberFormat="1" applyFont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 shrinkToFit="1"/>
    </xf>
    <xf numFmtId="165" fontId="1" fillId="2" borderId="8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 shrinkToFit="1"/>
    </xf>
    <xf numFmtId="0" fontId="9" fillId="0" borderId="11" xfId="1" applyFont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9" fillId="0" borderId="6" xfId="1" applyNumberFormat="1" applyFont="1" applyFill="1" applyBorder="1" applyAlignment="1" applyProtection="1">
      <alignment horizontal="left" vertical="center" wrapText="1"/>
    </xf>
    <xf numFmtId="44" fontId="1" fillId="0" borderId="5" xfId="3" applyFont="1" applyBorder="1" applyAlignment="1">
      <alignment horizontal="right" vertical="center"/>
    </xf>
    <xf numFmtId="0" fontId="15" fillId="0" borderId="0" xfId="1" applyFont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5" xfId="1" applyFont="1" applyBorder="1" applyAlignment="1">
      <alignment vertical="top" wrapText="1"/>
    </xf>
    <xf numFmtId="0" fontId="3" fillId="0" borderId="0" xfId="1" applyFont="1" applyFill="1" applyAlignment="1" applyProtection="1">
      <alignment vertical="center"/>
      <protection locked="0"/>
    </xf>
    <xf numFmtId="0" fontId="1" fillId="0" borderId="0" xfId="1" applyFont="1" applyFill="1" applyAlignment="1" applyProtection="1">
      <alignment vertical="center"/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15" fillId="0" borderId="5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15" fillId="0" borderId="5" xfId="1" applyFont="1" applyBorder="1" applyAlignment="1">
      <alignment vertical="center" wrapText="1"/>
    </xf>
    <xf numFmtId="0" fontId="16" fillId="0" borderId="0" xfId="0" applyFont="1" applyAlignment="1">
      <alignment vertical="center"/>
    </xf>
    <xf numFmtId="43" fontId="1" fillId="0" borderId="0" xfId="5" applyFont="1" applyAlignment="1">
      <alignment horizontal="right" vertical="center"/>
    </xf>
    <xf numFmtId="43" fontId="1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7" fontId="5" fillId="0" borderId="0" xfId="0" applyNumberFormat="1" applyFont="1" applyAlignment="1">
      <alignment vertical="center"/>
    </xf>
    <xf numFmtId="44" fontId="5" fillId="0" borderId="0" xfId="3" applyFont="1" applyAlignment="1">
      <alignment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0" fontId="30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1" fontId="32" fillId="0" borderId="0" xfId="3" applyNumberFormat="1" applyFont="1" applyAlignment="1">
      <alignment horizontal="left" vertical="center"/>
    </xf>
    <xf numFmtId="0" fontId="32" fillId="0" borderId="0" xfId="0" applyFont="1" applyAlignment="1">
      <alignment vertical="center"/>
    </xf>
    <xf numFmtId="0" fontId="13" fillId="2" borderId="8" xfId="0" applyFont="1" applyFill="1" applyBorder="1" applyAlignment="1">
      <alignment horizontal="center" vertical="center"/>
    </xf>
    <xf numFmtId="165" fontId="13" fillId="2" borderId="8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12" xfId="0" applyFont="1" applyBorder="1" applyAlignment="1">
      <alignment horizontal="left" vertical="center" shrinkToFit="1"/>
    </xf>
    <xf numFmtId="165" fontId="33" fillId="0" borderId="10" xfId="0" applyNumberFormat="1" applyFont="1" applyBorder="1" applyAlignment="1">
      <alignment horizontal="right" vertical="center"/>
    </xf>
    <xf numFmtId="1" fontId="5" fillId="0" borderId="12" xfId="0" applyNumberFormat="1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165" fontId="5" fillId="0" borderId="1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13" fillId="2" borderId="0" xfId="0" applyFont="1" applyFill="1" applyAlignment="1">
      <alignment horizontal="left" vertical="center" shrinkToFit="1"/>
    </xf>
    <xf numFmtId="165" fontId="33" fillId="0" borderId="5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vertical="center"/>
    </xf>
    <xf numFmtId="165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 shrinkToFit="1"/>
    </xf>
    <xf numFmtId="165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 shrinkToFit="1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 shrinkToFit="1"/>
    </xf>
    <xf numFmtId="165" fontId="33" fillId="0" borderId="7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5" fontId="5" fillId="0" borderId="7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5" fillId="2" borderId="7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44" fontId="5" fillId="0" borderId="5" xfId="3" applyFont="1" applyBorder="1" applyAlignment="1">
      <alignment horizontal="right" vertical="center"/>
    </xf>
    <xf numFmtId="3" fontId="5" fillId="0" borderId="6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0" fontId="36" fillId="0" borderId="0" xfId="1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3" xfId="0" applyFont="1" applyBorder="1" applyAlignment="1">
      <alignment vertical="center" shrinkToFit="1"/>
    </xf>
    <xf numFmtId="165" fontId="33" fillId="0" borderId="7" xfId="0" applyNumberFormat="1" applyFont="1" applyBorder="1" applyAlignment="1">
      <alignment vertical="center"/>
    </xf>
    <xf numFmtId="165" fontId="33" fillId="0" borderId="5" xfId="0" applyNumberFormat="1" applyFont="1" applyBorder="1" applyAlignment="1">
      <alignment vertical="center"/>
    </xf>
    <xf numFmtId="44" fontId="5" fillId="2" borderId="8" xfId="3" applyFont="1" applyFill="1" applyBorder="1" applyAlignment="1">
      <alignment horizontal="right" vertical="center"/>
    </xf>
    <xf numFmtId="0" fontId="37" fillId="0" borderId="0" xfId="1" applyFont="1" applyBorder="1" applyAlignment="1">
      <alignment vertical="center" wrapText="1"/>
    </xf>
    <xf numFmtId="0" fontId="5" fillId="0" borderId="10" xfId="1" applyFont="1" applyBorder="1" applyAlignment="1">
      <alignment horizontal="center" vertical="center" wrapText="1"/>
    </xf>
    <xf numFmtId="0" fontId="36" fillId="0" borderId="4" xfId="1" applyFont="1" applyBorder="1" applyAlignment="1">
      <alignment vertical="center" wrapText="1"/>
    </xf>
    <xf numFmtId="165" fontId="33" fillId="0" borderId="10" xfId="0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 wrapText="1"/>
    </xf>
    <xf numFmtId="44" fontId="5" fillId="0" borderId="7" xfId="3" applyFont="1" applyBorder="1" applyAlignment="1">
      <alignment horizontal="right" vertical="center"/>
    </xf>
    <xf numFmtId="44" fontId="5" fillId="2" borderId="7" xfId="3" applyFont="1" applyFill="1" applyBorder="1" applyAlignment="1">
      <alignment horizontal="right" vertical="center"/>
    </xf>
    <xf numFmtId="0" fontId="36" fillId="0" borderId="5" xfId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6" fillId="0" borderId="3" xfId="1" applyFont="1" applyBorder="1" applyAlignment="1">
      <alignment vertical="center" wrapText="1"/>
    </xf>
    <xf numFmtId="165" fontId="5" fillId="2" borderId="8" xfId="0" applyNumberFormat="1" applyFont="1" applyFill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5" fillId="0" borderId="10" xfId="0" applyFont="1" applyBorder="1" applyAlignment="1">
      <alignment horizontal="left" vertical="center" shrinkToFit="1"/>
    </xf>
    <xf numFmtId="1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shrinkToFit="1"/>
    </xf>
    <xf numFmtId="1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 shrinkToFit="1"/>
    </xf>
    <xf numFmtId="0" fontId="5" fillId="0" borderId="7" xfId="0" applyFont="1" applyBorder="1" applyAlignment="1">
      <alignment horizontal="left" vertical="center" wrapText="1" shrinkToFit="1"/>
    </xf>
    <xf numFmtId="0" fontId="5" fillId="0" borderId="7" xfId="0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43" fontId="38" fillId="0" borderId="0" xfId="5" applyFont="1" applyAlignment="1">
      <alignment horizontal="right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right" vertical="center"/>
    </xf>
    <xf numFmtId="43" fontId="39" fillId="0" borderId="0" xfId="5" applyFont="1" applyAlignment="1">
      <alignment horizontal="right" vertical="center"/>
    </xf>
    <xf numFmtId="0" fontId="39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166" fontId="38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166" fontId="39" fillId="0" borderId="0" xfId="0" applyNumberFormat="1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right" vertical="center"/>
    </xf>
    <xf numFmtId="44" fontId="5" fillId="0" borderId="1" xfId="3" applyFont="1" applyBorder="1" applyAlignment="1">
      <alignment vertical="center"/>
    </xf>
    <xf numFmtId="44" fontId="5" fillId="0" borderId="2" xfId="3" applyFont="1" applyBorder="1" applyAlignment="1">
      <alignment vertical="center"/>
    </xf>
    <xf numFmtId="44" fontId="13" fillId="0" borderId="0" xfId="3" applyFont="1" applyAlignment="1">
      <alignment horizontal="right" vertical="center"/>
    </xf>
    <xf numFmtId="44" fontId="30" fillId="0" borderId="3" xfId="3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2" fontId="32" fillId="2" borderId="11" xfId="0" applyNumberFormat="1" applyFont="1" applyFill="1" applyBorder="1" applyAlignment="1">
      <alignment horizontal="center" vertical="center"/>
    </xf>
    <xf numFmtId="2" fontId="32" fillId="2" borderId="3" xfId="0" applyNumberFormat="1" applyFont="1" applyFill="1" applyBorder="1" applyAlignment="1">
      <alignment horizontal="center" vertical="center"/>
    </xf>
    <xf numFmtId="2" fontId="32" fillId="2" borderId="8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2" fontId="32" fillId="2" borderId="9" xfId="0" applyNumberFormat="1" applyFont="1" applyFill="1" applyBorder="1" applyAlignment="1">
      <alignment horizontal="center" vertical="center"/>
    </xf>
    <xf numFmtId="2" fontId="32" fillId="2" borderId="14" xfId="0" applyNumberFormat="1" applyFont="1" applyFill="1" applyBorder="1" applyAlignment="1">
      <alignment horizontal="center" vertical="center"/>
    </xf>
    <xf numFmtId="2" fontId="32" fillId="2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3" xfId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shrinkToFit="1"/>
    </xf>
  </cellXfs>
  <cellStyles count="6">
    <cellStyle name="Milliers" xfId="5" builtinId="3"/>
    <cellStyle name="Monétaire" xfId="3" builtinId="4"/>
    <cellStyle name="Normal" xfId="0" builtinId="0"/>
    <cellStyle name="Normal 2" xfId="1" xr:uid="{3D6FB2E0-A9C6-4113-A296-2F6D2FAEAC99}"/>
    <cellStyle name="Normal 3" xfId="4" xr:uid="{2210C88E-B85C-4898-A7E7-DA70E63114B8}"/>
    <cellStyle name="Normal 3 2 2" xfId="2" xr:uid="{65856B11-223B-4E99-8D34-1ADD553E580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FFCC00"/>
      <color rgb="FFCCFF99"/>
      <color rgb="FFCCFF66"/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2503477</xdr:colOff>
      <xdr:row>5</xdr:row>
      <xdr:rowOff>39611</xdr:rowOff>
    </xdr:from>
    <xdr:to>
      <xdr:col>0</xdr:col>
      <xdr:colOff>3304918</xdr:colOff>
      <xdr:row>6</xdr:row>
      <xdr:rowOff>18464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CE427E7-330B-483F-957F-999843637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503477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35</xdr:row>
      <xdr:rowOff>161925</xdr:rowOff>
    </xdr:from>
    <xdr:to>
      <xdr:col>0</xdr:col>
      <xdr:colOff>1716405</xdr:colOff>
      <xdr:row>39</xdr:row>
      <xdr:rowOff>85181</xdr:rowOff>
    </xdr:to>
    <xdr:pic>
      <xdr:nvPicPr>
        <xdr:cNvPr id="3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83B596D8-67EE-4B35-9B9F-B4053C5FE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867650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2703502</xdr:colOff>
      <xdr:row>5</xdr:row>
      <xdr:rowOff>39611</xdr:rowOff>
    </xdr:from>
    <xdr:to>
      <xdr:col>0</xdr:col>
      <xdr:colOff>3506848</xdr:colOff>
      <xdr:row>6</xdr:row>
      <xdr:rowOff>14654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838AD34-8A1F-49C7-A1E6-B7B554502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03502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39</xdr:row>
      <xdr:rowOff>161925</xdr:rowOff>
    </xdr:from>
    <xdr:to>
      <xdr:col>0</xdr:col>
      <xdr:colOff>1716405</xdr:colOff>
      <xdr:row>43</xdr:row>
      <xdr:rowOff>85181</xdr:rowOff>
    </xdr:to>
    <xdr:pic>
      <xdr:nvPicPr>
        <xdr:cNvPr id="3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78B11EC7-5923-42A8-B539-D65D650A3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486525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2703502</xdr:colOff>
      <xdr:row>5</xdr:row>
      <xdr:rowOff>39611</xdr:rowOff>
    </xdr:from>
    <xdr:to>
      <xdr:col>0</xdr:col>
      <xdr:colOff>3506848</xdr:colOff>
      <xdr:row>6</xdr:row>
      <xdr:rowOff>14654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D27646D-5CCA-4DE4-8D9D-AEBA78A436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03502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32</xdr:row>
      <xdr:rowOff>161925</xdr:rowOff>
    </xdr:from>
    <xdr:to>
      <xdr:col>0</xdr:col>
      <xdr:colOff>1716405</xdr:colOff>
      <xdr:row>36</xdr:row>
      <xdr:rowOff>85181</xdr:rowOff>
    </xdr:to>
    <xdr:pic>
      <xdr:nvPicPr>
        <xdr:cNvPr id="3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5A94DE1E-07E5-48C9-B2CE-A1C87B883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762750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2693977</xdr:colOff>
      <xdr:row>5</xdr:row>
      <xdr:rowOff>39611</xdr:rowOff>
    </xdr:from>
    <xdr:to>
      <xdr:col>0</xdr:col>
      <xdr:colOff>3497323</xdr:colOff>
      <xdr:row>6</xdr:row>
      <xdr:rowOff>14654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427F71-B64F-4A0B-AADB-3E0941B96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693977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36</xdr:row>
      <xdr:rowOff>161925</xdr:rowOff>
    </xdr:from>
    <xdr:to>
      <xdr:col>0</xdr:col>
      <xdr:colOff>1716405</xdr:colOff>
      <xdr:row>40</xdr:row>
      <xdr:rowOff>85181</xdr:rowOff>
    </xdr:to>
    <xdr:pic>
      <xdr:nvPicPr>
        <xdr:cNvPr id="2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E6FA96A4-61EF-43E5-B8BB-7F0E4FB47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7315200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2713027</xdr:colOff>
      <xdr:row>5</xdr:row>
      <xdr:rowOff>39611</xdr:rowOff>
    </xdr:from>
    <xdr:to>
      <xdr:col>0</xdr:col>
      <xdr:colOff>3516373</xdr:colOff>
      <xdr:row>6</xdr:row>
      <xdr:rowOff>14654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CDF3CC-0617-4052-B73C-8DD75F993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13027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38</xdr:row>
      <xdr:rowOff>161925</xdr:rowOff>
    </xdr:from>
    <xdr:to>
      <xdr:col>0</xdr:col>
      <xdr:colOff>1716405</xdr:colOff>
      <xdr:row>42</xdr:row>
      <xdr:rowOff>85181</xdr:rowOff>
    </xdr:to>
    <xdr:pic>
      <xdr:nvPicPr>
        <xdr:cNvPr id="2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7F9CF427-42A9-4E8F-ADFD-2D8B6FD74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210300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2703502</xdr:colOff>
      <xdr:row>5</xdr:row>
      <xdr:rowOff>39611</xdr:rowOff>
    </xdr:from>
    <xdr:to>
      <xdr:col>0</xdr:col>
      <xdr:colOff>3506848</xdr:colOff>
      <xdr:row>6</xdr:row>
      <xdr:rowOff>14654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0FB1C58-BFDD-4037-AAD3-D657E03427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03502" y="849236"/>
          <a:ext cx="803346" cy="9846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390525</xdr:colOff>
      <xdr:row>30</xdr:row>
      <xdr:rowOff>161925</xdr:rowOff>
    </xdr:from>
    <xdr:to>
      <xdr:col>0</xdr:col>
      <xdr:colOff>1716405</xdr:colOff>
      <xdr:row>34</xdr:row>
      <xdr:rowOff>85181</xdr:rowOff>
    </xdr:to>
    <xdr:pic>
      <xdr:nvPicPr>
        <xdr:cNvPr id="4" name="Image 1132709668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27CCC588-7BD4-4AED-B2C4-5F1E22223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286500"/>
          <a:ext cx="1325880" cy="570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externalLinkPath" Target="file:///A:\WINDOWS\EXCEL\1111.02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externalLinkPath" Target="file:///A:\WINDOWS\EXCEL\1111.0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externalLinkPath" Target="file:///A:\WINDOWS\EXCEL\1111.02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externalLinkPath" Target="file:///A:\WINDOWS\EXCEL\1111.02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externalLinkPath" Target="file:///A:\WINDOWS\EXCEL\1111.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1370B-D60C-49C1-ABC3-2972E8E55604}">
  <sheetPr>
    <pageSetUpPr fitToPage="1"/>
  </sheetPr>
  <dimension ref="A1:E40"/>
  <sheetViews>
    <sheetView tabSelected="1" zoomScaleNormal="100" zoomScaleSheetLayoutView="85" workbookViewId="0">
      <selection activeCell="I6" sqref="I6"/>
    </sheetView>
  </sheetViews>
  <sheetFormatPr baseColWidth="10" defaultColWidth="11.42578125" defaultRowHeight="12.75" customHeight="1" x14ac:dyDescent="0.2"/>
  <cols>
    <col min="1" max="1" width="50.7109375" style="8" customWidth="1"/>
    <col min="2" max="2" width="16.28515625" style="8" customWidth="1"/>
    <col min="3" max="3" width="7.7109375" style="8" customWidth="1"/>
    <col min="4" max="4" width="13.140625" style="8" bestFit="1" customWidth="1"/>
    <col min="5" max="16384" width="11.42578125" style="8"/>
  </cols>
  <sheetData>
    <row r="1" spans="1:4" ht="12.75" customHeight="1" x14ac:dyDescent="0.2">
      <c r="A1" s="175" t="s">
        <v>74</v>
      </c>
      <c r="B1" s="175"/>
      <c r="C1" s="175"/>
      <c r="D1" s="168"/>
    </row>
    <row r="2" spans="1:4" ht="12.75" customHeight="1" x14ac:dyDescent="0.2">
      <c r="A2" s="176"/>
      <c r="B2" s="176"/>
      <c r="C2" s="176"/>
      <c r="D2" s="168"/>
    </row>
    <row r="3" spans="1:4" ht="12.75" customHeight="1" x14ac:dyDescent="0.2">
      <c r="A3" s="167" t="s">
        <v>75</v>
      </c>
      <c r="B3" s="167"/>
      <c r="C3" s="167"/>
      <c r="D3" s="168"/>
    </row>
    <row r="4" spans="1:4" ht="12.75" customHeight="1" x14ac:dyDescent="0.2">
      <c r="A4" s="167"/>
      <c r="B4" s="167"/>
      <c r="C4" s="167"/>
    </row>
    <row r="5" spans="1:4" ht="12.75" customHeight="1" x14ac:dyDescent="0.2">
      <c r="A5" s="177" t="s">
        <v>310</v>
      </c>
      <c r="B5" s="177"/>
      <c r="C5" s="177"/>
      <c r="D5" s="178"/>
    </row>
    <row r="6" spans="1:4" ht="80.099999999999994" customHeight="1" x14ac:dyDescent="0.2">
      <c r="A6" s="113"/>
      <c r="B6" s="113"/>
      <c r="C6" s="111"/>
    </row>
    <row r="7" spans="1:4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111"/>
      <c r="B10" s="69"/>
    </row>
    <row r="11" spans="1:4" ht="12.75" customHeight="1" x14ac:dyDescent="0.2">
      <c r="A11" s="167"/>
      <c r="B11" s="167"/>
      <c r="C11" s="167"/>
      <c r="D11" s="168"/>
    </row>
    <row r="12" spans="1:4" s="132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111"/>
      <c r="B13" s="69"/>
    </row>
    <row r="14" spans="1:4" ht="12.75" customHeight="1" x14ac:dyDescent="0.2">
      <c r="A14" s="171"/>
      <c r="B14" s="171"/>
      <c r="C14" s="171"/>
      <c r="D14" s="172"/>
    </row>
    <row r="15" spans="1:4" ht="12.75" customHeight="1" x14ac:dyDescent="0.2">
      <c r="A15" s="173"/>
      <c r="B15" s="173"/>
      <c r="C15" s="173"/>
      <c r="D15" s="174"/>
    </row>
    <row r="16" spans="1:4" ht="12.75" customHeight="1" x14ac:dyDescent="0.2">
      <c r="B16" s="72"/>
    </row>
    <row r="17" spans="1:5" ht="12.75" customHeight="1" x14ac:dyDescent="0.2">
      <c r="A17" s="8" t="str">
        <f>'01'!A15:D15</f>
        <v>LOT 01 - TERRASSEMENT - VRD</v>
      </c>
      <c r="B17" s="73">
        <f>'01'!B32</f>
        <v>0</v>
      </c>
    </row>
    <row r="18" spans="1:5" ht="9" customHeight="1" x14ac:dyDescent="0.2">
      <c r="B18" s="73"/>
    </row>
    <row r="19" spans="1:5" ht="12.75" customHeight="1" x14ac:dyDescent="0.2">
      <c r="A19" s="8" t="str">
        <f>'02'!A15:D15</f>
        <v>LOT 02 - GENIE CIVIL - BÂTIMENT</v>
      </c>
      <c r="B19" s="73">
        <f>'02'!B22</f>
        <v>0</v>
      </c>
    </row>
    <row r="20" spans="1:5" ht="9" customHeight="1" x14ac:dyDescent="0.2">
      <c r="B20" s="73"/>
    </row>
    <row r="21" spans="1:5" ht="12.75" customHeight="1" x14ac:dyDescent="0.2">
      <c r="A21" s="8" t="str">
        <f>'03'!A15:D15</f>
        <v>LOT 03 - ELECTRICITE - ECLAIRAGE - VIDEOSURVEILLANCE</v>
      </c>
      <c r="B21" s="73">
        <f>'03'!B26</f>
        <v>0</v>
      </c>
    </row>
    <row r="22" spans="1:5" ht="9" customHeight="1" x14ac:dyDescent="0.2">
      <c r="B22" s="73"/>
    </row>
    <row r="23" spans="1:5" ht="12.75" customHeight="1" x14ac:dyDescent="0.2">
      <c r="A23" s="8" t="str">
        <f>'04'!A15:D15</f>
        <v>LOT 04 - CLÔTURE - SERRURRERIE - ESPACES VERTS</v>
      </c>
      <c r="B23" s="73">
        <f>'04'!B28</f>
        <v>0</v>
      </c>
    </row>
    <row r="24" spans="1:5" ht="9" customHeight="1" x14ac:dyDescent="0.2">
      <c r="B24" s="73"/>
    </row>
    <row r="25" spans="1:5" ht="12.75" customHeight="1" x14ac:dyDescent="0.2">
      <c r="A25" s="8" t="str">
        <f>'05'!A15:D15</f>
        <v>LOT 05 - GESTION ACCES</v>
      </c>
      <c r="B25" s="73">
        <f>'05'!B20</f>
        <v>0</v>
      </c>
    </row>
    <row r="26" spans="1:5" ht="9" customHeight="1" thickBot="1" x14ac:dyDescent="0.25">
      <c r="B26" s="162"/>
    </row>
    <row r="27" spans="1:5" ht="9" customHeight="1" x14ac:dyDescent="0.2">
      <c r="B27" s="163"/>
    </row>
    <row r="28" spans="1:5" ht="12.75" customHeight="1" x14ac:dyDescent="0.2">
      <c r="A28" s="16" t="s">
        <v>5</v>
      </c>
      <c r="B28" s="164">
        <f>SUM(B17:B26)</f>
        <v>0</v>
      </c>
      <c r="D28" s="73"/>
    </row>
    <row r="29" spans="1:5" ht="9" customHeight="1" x14ac:dyDescent="0.2">
      <c r="A29" s="74"/>
      <c r="B29" s="73"/>
      <c r="E29" s="75"/>
    </row>
    <row r="30" spans="1:5" ht="12.75" customHeight="1" x14ac:dyDescent="0.2">
      <c r="A30" s="76" t="s">
        <v>16</v>
      </c>
      <c r="B30" s="165">
        <f>ROUND(B28*0.2,2)</f>
        <v>0</v>
      </c>
    </row>
    <row r="31" spans="1:5" ht="9" customHeight="1" x14ac:dyDescent="0.2">
      <c r="B31" s="73"/>
    </row>
    <row r="32" spans="1:5" ht="12.75" customHeight="1" x14ac:dyDescent="0.2">
      <c r="A32" s="16" t="s">
        <v>6</v>
      </c>
      <c r="B32" s="164">
        <f>SUM(B28:B30)</f>
        <v>0</v>
      </c>
    </row>
    <row r="33" spans="1:5" ht="12.75" customHeight="1" x14ac:dyDescent="0.2">
      <c r="B33" s="73"/>
    </row>
    <row r="35" spans="1:5" ht="27" customHeight="1" x14ac:dyDescent="0.2">
      <c r="A35" s="166" t="s">
        <v>11</v>
      </c>
      <c r="B35" s="166"/>
      <c r="C35" s="166"/>
      <c r="D35" s="166"/>
      <c r="E35" s="1" t="s">
        <v>12</v>
      </c>
    </row>
    <row r="37" spans="1:5" ht="12.75" customHeight="1" x14ac:dyDescent="0.2">
      <c r="B37" s="8" t="s">
        <v>7</v>
      </c>
    </row>
    <row r="38" spans="1:5" ht="12.75" customHeight="1" x14ac:dyDescent="0.2">
      <c r="B38" s="8" t="s">
        <v>8</v>
      </c>
    </row>
    <row r="39" spans="1:5" ht="12.75" customHeight="1" x14ac:dyDescent="0.2">
      <c r="B39" s="8" t="s">
        <v>9</v>
      </c>
    </row>
    <row r="40" spans="1:5" ht="12.75" customHeight="1" x14ac:dyDescent="0.2">
      <c r="B40" s="77" t="s">
        <v>10</v>
      </c>
    </row>
  </sheetData>
  <mergeCells count="13">
    <mergeCell ref="A7:D7"/>
    <mergeCell ref="A1:D1"/>
    <mergeCell ref="A2:D2"/>
    <mergeCell ref="A3:D3"/>
    <mergeCell ref="A4:C4"/>
    <mergeCell ref="A5:D5"/>
    <mergeCell ref="A35:D35"/>
    <mergeCell ref="A8:D8"/>
    <mergeCell ref="A9:D9"/>
    <mergeCell ref="A11:D11"/>
    <mergeCell ref="A12:D12"/>
    <mergeCell ref="A14:D14"/>
    <mergeCell ref="A15:D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A10B9-BD7F-4D64-941D-30CD95FD9923}">
  <sheetPr>
    <tabColor rgb="FFFF00FF"/>
    <pageSetUpPr fitToPage="1"/>
  </sheetPr>
  <dimension ref="A1:E35"/>
  <sheetViews>
    <sheetView topLeftCell="A6" zoomScaleNormal="100" zoomScaleSheetLayoutView="85" workbookViewId="0">
      <selection activeCell="B38" sqref="B38"/>
    </sheetView>
  </sheetViews>
  <sheetFormatPr baseColWidth="10" defaultColWidth="11.42578125" defaultRowHeight="12.75" customHeight="1" x14ac:dyDescent="0.2"/>
  <cols>
    <col min="1" max="1" width="55.7109375" style="8" customWidth="1"/>
    <col min="2" max="2" width="16.28515625" style="8" customWidth="1"/>
    <col min="3" max="3" width="7.7109375" style="8" customWidth="1"/>
    <col min="4" max="4" width="14.42578125" style="8" customWidth="1"/>
    <col min="5" max="16384" width="11.42578125" style="8"/>
  </cols>
  <sheetData>
    <row r="1" spans="1:4" ht="12.75" customHeight="1" x14ac:dyDescent="0.2">
      <c r="A1" s="175" t="s">
        <v>74</v>
      </c>
      <c r="B1" s="175"/>
      <c r="C1" s="175"/>
      <c r="D1" s="168"/>
    </row>
    <row r="2" spans="1:4" ht="12.75" customHeight="1" x14ac:dyDescent="0.2">
      <c r="A2" s="77"/>
      <c r="B2" s="77"/>
      <c r="C2" s="77"/>
    </row>
    <row r="3" spans="1:4" ht="12.75" customHeight="1" x14ac:dyDescent="0.2">
      <c r="A3" s="167" t="s">
        <v>75</v>
      </c>
      <c r="B3" s="167"/>
      <c r="C3" s="167"/>
      <c r="D3" s="168"/>
    </row>
    <row r="4" spans="1:4" ht="12.75" customHeight="1" x14ac:dyDescent="0.2">
      <c r="A4" s="113"/>
      <c r="B4" s="113"/>
      <c r="C4" s="113"/>
    </row>
    <row r="5" spans="1:4" ht="12.75" customHeight="1" x14ac:dyDescent="0.2">
      <c r="A5" s="177" t="s">
        <v>310</v>
      </c>
      <c r="B5" s="177"/>
      <c r="C5" s="177"/>
      <c r="D5" s="178"/>
    </row>
    <row r="6" spans="1:4" ht="80.099999999999994" customHeight="1" x14ac:dyDescent="0.2">
      <c r="A6" s="113"/>
      <c r="B6" s="113"/>
      <c r="C6" s="111"/>
    </row>
    <row r="7" spans="1:4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111"/>
      <c r="B10" s="69"/>
    </row>
    <row r="11" spans="1:4" ht="12.75" customHeight="1" x14ac:dyDescent="0.2">
      <c r="A11" s="113"/>
      <c r="B11" s="113"/>
      <c r="C11" s="113"/>
    </row>
    <row r="12" spans="1:4" s="112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111"/>
      <c r="B13" s="69"/>
    </row>
    <row r="14" spans="1:4" ht="12.75" customHeight="1" x14ac:dyDescent="0.2">
      <c r="A14" s="133"/>
      <c r="B14" s="133"/>
      <c r="C14" s="133"/>
      <c r="D14" s="1"/>
    </row>
    <row r="15" spans="1:4" ht="12.75" customHeight="1" x14ac:dyDescent="0.2">
      <c r="A15" s="173" t="s">
        <v>98</v>
      </c>
      <c r="B15" s="173"/>
      <c r="C15" s="173"/>
      <c r="D15" s="174"/>
    </row>
    <row r="16" spans="1:4" ht="12.75" customHeight="1" x14ac:dyDescent="0.2">
      <c r="B16" s="72"/>
    </row>
    <row r="17" spans="1:5" ht="12.75" customHeight="1" x14ac:dyDescent="0.2">
      <c r="A17" s="8" t="str">
        <f>'GESTION ACCES'!B7</f>
        <v>A - GESTION D'ACCES</v>
      </c>
      <c r="B17" s="73">
        <f>'GESTION ACCES'!F15</f>
        <v>0</v>
      </c>
    </row>
    <row r="18" spans="1:5" ht="9" customHeight="1" thickBot="1" x14ac:dyDescent="0.25">
      <c r="B18" s="162"/>
    </row>
    <row r="19" spans="1:5" ht="9" customHeight="1" x14ac:dyDescent="0.2">
      <c r="B19" s="163"/>
    </row>
    <row r="20" spans="1:5" ht="12.75" customHeight="1" x14ac:dyDescent="0.2">
      <c r="A20" s="16" t="s">
        <v>5</v>
      </c>
      <c r="B20" s="164">
        <f>SUM(B17:B19)</f>
        <v>0</v>
      </c>
    </row>
    <row r="21" spans="1:5" ht="9" customHeight="1" x14ac:dyDescent="0.2">
      <c r="A21" s="74"/>
      <c r="B21" s="73"/>
      <c r="E21" s="75"/>
    </row>
    <row r="22" spans="1:5" ht="12.75" customHeight="1" x14ac:dyDescent="0.2">
      <c r="A22" s="76" t="s">
        <v>16</v>
      </c>
      <c r="B22" s="165">
        <f>ROUND(B20*0.2,2)</f>
        <v>0</v>
      </c>
    </row>
    <row r="23" spans="1:5" ht="9" customHeight="1" x14ac:dyDescent="0.2">
      <c r="B23" s="73"/>
    </row>
    <row r="24" spans="1:5" ht="12.75" customHeight="1" x14ac:dyDescent="0.2">
      <c r="A24" s="16" t="s">
        <v>6</v>
      </c>
      <c r="B24" s="164">
        <f>SUM(B20:B22)</f>
        <v>0</v>
      </c>
    </row>
    <row r="25" spans="1:5" ht="12.75" customHeight="1" x14ac:dyDescent="0.2">
      <c r="B25" s="73"/>
    </row>
    <row r="26" spans="1:5" ht="12.75" customHeight="1" x14ac:dyDescent="0.2">
      <c r="B26" s="73"/>
    </row>
    <row r="27" spans="1:5" ht="12.75" customHeight="1" x14ac:dyDescent="0.2">
      <c r="A27" s="77"/>
    </row>
    <row r="30" spans="1:5" ht="27.95" customHeight="1" x14ac:dyDescent="0.2">
      <c r="A30" s="166" t="s">
        <v>11</v>
      </c>
      <c r="B30" s="166"/>
      <c r="C30" s="166"/>
      <c r="D30" s="166"/>
      <c r="E30" s="1" t="s">
        <v>12</v>
      </c>
    </row>
    <row r="32" spans="1:5" ht="12.75" customHeight="1" x14ac:dyDescent="0.2">
      <c r="B32" s="8" t="s">
        <v>7</v>
      </c>
    </row>
    <row r="33" spans="2:2" ht="12.75" customHeight="1" x14ac:dyDescent="0.2">
      <c r="B33" s="8" t="s">
        <v>8</v>
      </c>
    </row>
    <row r="34" spans="2:2" ht="12.75" customHeight="1" x14ac:dyDescent="0.2">
      <c r="B34" s="8" t="s">
        <v>9</v>
      </c>
    </row>
    <row r="35" spans="2:2" ht="12.75" customHeight="1" x14ac:dyDescent="0.2">
      <c r="B35" s="77" t="s">
        <v>10</v>
      </c>
    </row>
  </sheetData>
  <mergeCells count="9">
    <mergeCell ref="A7:D7"/>
    <mergeCell ref="A1:D1"/>
    <mergeCell ref="A3:D3"/>
    <mergeCell ref="A5:D5"/>
    <mergeCell ref="A30:D30"/>
    <mergeCell ref="A8:D8"/>
    <mergeCell ref="A9:D9"/>
    <mergeCell ref="A12:D12"/>
    <mergeCell ref="A15:D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CB191-2237-41C1-8C5E-B6C3AAF04FC2}">
  <sheetPr>
    <tabColor rgb="FFFF00FF"/>
    <pageSetUpPr fitToPage="1"/>
  </sheetPr>
  <dimension ref="A1:F15"/>
  <sheetViews>
    <sheetView showZeros="0" zoomScaleNormal="100" zoomScaleSheetLayoutView="100" workbookViewId="0">
      <selection activeCell="F15" sqref="F15"/>
    </sheetView>
  </sheetViews>
  <sheetFormatPr baseColWidth="10" defaultColWidth="11.42578125" defaultRowHeight="12.75" customHeight="1" x14ac:dyDescent="0.2"/>
  <cols>
    <col min="1" max="1" width="8.7109375" style="8" customWidth="1"/>
    <col min="2" max="2" width="65.7109375" style="8" customWidth="1"/>
    <col min="3" max="3" width="12.7109375" style="108" customWidth="1"/>
    <col min="4" max="4" width="10.7109375" style="8" customWidth="1"/>
    <col min="5" max="5" width="8.7109375" style="8" customWidth="1"/>
    <col min="6" max="6" width="15.7109375" style="108" customWidth="1"/>
    <col min="7" max="16384" width="11.42578125" style="8"/>
  </cols>
  <sheetData>
    <row r="1" spans="1:6" s="78" customFormat="1" ht="12.75" customHeight="1" x14ac:dyDescent="0.2">
      <c r="C1" s="17"/>
      <c r="E1" s="79"/>
      <c r="F1" s="80"/>
    </row>
    <row r="2" spans="1:6" s="78" customFormat="1" ht="12.75" customHeight="1" x14ac:dyDescent="0.2">
      <c r="A2" s="9" t="s">
        <v>79</v>
      </c>
      <c r="C2" s="17"/>
      <c r="E2" s="79"/>
      <c r="F2" s="80"/>
    </row>
    <row r="3" spans="1:6" s="78" customFormat="1" ht="12.75" customHeight="1" x14ac:dyDescent="0.2">
      <c r="A3" s="10" t="s">
        <v>118</v>
      </c>
      <c r="B3" s="81"/>
      <c r="D3" s="16"/>
      <c r="E3" s="17"/>
      <c r="F3" s="17"/>
    </row>
    <row r="4" spans="1:6" s="78" customFormat="1" ht="12.75" customHeight="1" x14ac:dyDescent="0.2">
      <c r="A4" s="10"/>
      <c r="B4" s="81"/>
      <c r="D4" s="16"/>
      <c r="E4" s="17"/>
      <c r="F4" s="17"/>
    </row>
    <row r="5" spans="1:6" s="84" customFormat="1" ht="12.75" customHeight="1" x14ac:dyDescent="0.2">
      <c r="A5" s="82" t="s">
        <v>1</v>
      </c>
      <c r="B5" s="82" t="s">
        <v>2</v>
      </c>
      <c r="C5" s="83" t="s">
        <v>0</v>
      </c>
      <c r="D5" s="186" t="s">
        <v>3</v>
      </c>
      <c r="E5" s="187"/>
      <c r="F5" s="83" t="s">
        <v>4</v>
      </c>
    </row>
    <row r="6" spans="1:6" s="91" customFormat="1" ht="12.75" customHeight="1" x14ac:dyDescent="0.2">
      <c r="A6" s="85"/>
      <c r="B6" s="86"/>
      <c r="C6" s="87"/>
      <c r="D6" s="88"/>
      <c r="E6" s="89"/>
      <c r="F6" s="90">
        <f>C6*D6</f>
        <v>0</v>
      </c>
    </row>
    <row r="7" spans="1:6" s="91" customFormat="1" ht="12.75" customHeight="1" x14ac:dyDescent="0.2">
      <c r="A7" s="92"/>
      <c r="B7" s="93" t="s">
        <v>117</v>
      </c>
      <c r="C7" s="94"/>
      <c r="D7" s="95"/>
      <c r="F7" s="96"/>
    </row>
    <row r="8" spans="1:6" ht="12.75" customHeight="1" x14ac:dyDescent="0.2">
      <c r="A8" s="97"/>
      <c r="B8" s="98"/>
      <c r="C8" s="94"/>
      <c r="D8" s="74"/>
      <c r="F8" s="99"/>
    </row>
    <row r="9" spans="1:6" ht="12.75" customHeight="1" x14ac:dyDescent="0.2">
      <c r="A9" s="100" t="s">
        <v>308</v>
      </c>
      <c r="B9" s="101" t="s">
        <v>99</v>
      </c>
      <c r="C9" s="94"/>
      <c r="D9" s="74">
        <v>3</v>
      </c>
      <c r="E9" s="8" t="s">
        <v>23</v>
      </c>
      <c r="F9" s="99">
        <f t="shared" ref="F9:F13" si="0">IF(D9="pm","pm",D9*C9)</f>
        <v>0</v>
      </c>
    </row>
    <row r="10" spans="1:6" ht="12.75" customHeight="1" x14ac:dyDescent="0.2">
      <c r="A10" s="100" t="s">
        <v>107</v>
      </c>
      <c r="B10" s="101" t="s">
        <v>311</v>
      </c>
      <c r="C10" s="94"/>
      <c r="D10" s="74">
        <v>1</v>
      </c>
      <c r="E10" s="8" t="s">
        <v>23</v>
      </c>
      <c r="F10" s="99">
        <f t="shared" si="0"/>
        <v>0</v>
      </c>
    </row>
    <row r="11" spans="1:6" ht="12.75" customHeight="1" x14ac:dyDescent="0.2">
      <c r="A11" s="100" t="s">
        <v>122</v>
      </c>
      <c r="B11" s="101" t="s">
        <v>100</v>
      </c>
      <c r="C11" s="94"/>
      <c r="D11" s="74">
        <v>1</v>
      </c>
      <c r="E11" s="8" t="s">
        <v>23</v>
      </c>
      <c r="F11" s="99">
        <f t="shared" si="0"/>
        <v>0</v>
      </c>
    </row>
    <row r="12" spans="1:6" ht="12.75" customHeight="1" x14ac:dyDescent="0.2">
      <c r="A12" s="100" t="s">
        <v>123</v>
      </c>
      <c r="B12" s="101" t="s">
        <v>101</v>
      </c>
      <c r="C12" s="94"/>
      <c r="D12" s="74">
        <v>1</v>
      </c>
      <c r="E12" s="8" t="s">
        <v>23</v>
      </c>
      <c r="F12" s="99">
        <f t="shared" si="0"/>
        <v>0</v>
      </c>
    </row>
    <row r="13" spans="1:6" ht="12.75" customHeight="1" x14ac:dyDescent="0.2">
      <c r="A13" s="100" t="s">
        <v>124</v>
      </c>
      <c r="B13" s="101" t="s">
        <v>102</v>
      </c>
      <c r="C13" s="94"/>
      <c r="D13" s="74">
        <v>110</v>
      </c>
      <c r="E13" s="8" t="s">
        <v>20</v>
      </c>
      <c r="F13" s="99">
        <f t="shared" si="0"/>
        <v>0</v>
      </c>
    </row>
    <row r="14" spans="1:6" ht="12.75" customHeight="1" x14ac:dyDescent="0.2">
      <c r="A14" s="102"/>
      <c r="B14" s="103"/>
      <c r="C14" s="104"/>
      <c r="D14" s="105"/>
      <c r="E14" s="106"/>
      <c r="F14" s="107"/>
    </row>
    <row r="15" spans="1:6" ht="12.75" customHeight="1" x14ac:dyDescent="0.2">
      <c r="A15" s="108"/>
      <c r="B15" s="108"/>
      <c r="D15" s="188" t="s">
        <v>26</v>
      </c>
      <c r="E15" s="189"/>
      <c r="F15" s="109">
        <f>SUM(F6:F14)</f>
        <v>0</v>
      </c>
    </row>
  </sheetData>
  <dataConsolidate>
    <dataRefs count="1">
      <dataRef ref="A1:F1" r:id="rId1"/>
    </dataRefs>
  </dataConsolidate>
  <mergeCells count="2">
    <mergeCell ref="D5:E5"/>
    <mergeCell ref="D15:E15"/>
  </mergeCells>
  <phoneticPr fontId="14" type="noConversion"/>
  <printOptions horizontalCentered="1"/>
  <pageMargins left="0.25" right="0.25" top="0.75" bottom="0.75" header="0.3" footer="0.3"/>
  <pageSetup paperSize="9" scale="82" firstPageNumber="2" fitToHeight="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E44"/>
  <sheetViews>
    <sheetView zoomScaleNormal="100" zoomScaleSheetLayoutView="85" workbookViewId="0">
      <selection activeCell="D38" sqref="D38"/>
    </sheetView>
  </sheetViews>
  <sheetFormatPr baseColWidth="10" defaultColWidth="11.42578125" defaultRowHeight="12.75" customHeight="1" x14ac:dyDescent="0.2"/>
  <cols>
    <col min="1" max="1" width="55.7109375" style="8" customWidth="1"/>
    <col min="2" max="2" width="16.28515625" style="8" customWidth="1"/>
    <col min="3" max="3" width="7.7109375" style="8" customWidth="1"/>
    <col min="4" max="4" width="14.42578125" style="8" customWidth="1"/>
    <col min="5" max="16384" width="11.42578125" style="8"/>
  </cols>
  <sheetData>
    <row r="1" spans="1:4" ht="12.75" customHeight="1" x14ac:dyDescent="0.2">
      <c r="A1" s="175" t="s">
        <v>74</v>
      </c>
      <c r="B1" s="175"/>
      <c r="C1" s="175"/>
      <c r="D1" s="168"/>
    </row>
    <row r="2" spans="1:4" ht="12.75" customHeight="1" x14ac:dyDescent="0.2">
      <c r="A2" s="176"/>
      <c r="B2" s="176"/>
      <c r="C2" s="176"/>
      <c r="D2" s="168"/>
    </row>
    <row r="3" spans="1:4" ht="12.75" customHeight="1" x14ac:dyDescent="0.2">
      <c r="A3" s="179" t="s">
        <v>75</v>
      </c>
      <c r="B3" s="179"/>
      <c r="C3" s="179"/>
      <c r="D3" s="168"/>
    </row>
    <row r="4" spans="1:4" ht="12.75" customHeight="1" x14ac:dyDescent="0.2">
      <c r="A4" s="167"/>
      <c r="B4" s="167"/>
      <c r="C4" s="167"/>
    </row>
    <row r="5" spans="1:4" ht="12.75" customHeight="1" x14ac:dyDescent="0.2">
      <c r="A5" s="177" t="s">
        <v>310</v>
      </c>
      <c r="B5" s="177"/>
      <c r="C5" s="177"/>
      <c r="D5" s="178"/>
    </row>
    <row r="6" spans="1:4" ht="80.099999999999994" customHeight="1" x14ac:dyDescent="0.2">
      <c r="A6" s="113"/>
      <c r="B6" s="113"/>
      <c r="C6" s="111"/>
    </row>
    <row r="7" spans="1:4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111"/>
      <c r="B10" s="69"/>
    </row>
    <row r="11" spans="1:4" ht="12.75" customHeight="1" x14ac:dyDescent="0.2">
      <c r="A11" s="167"/>
      <c r="B11" s="167"/>
      <c r="C11" s="167"/>
      <c r="D11" s="168"/>
    </row>
    <row r="12" spans="1:4" s="112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111"/>
      <c r="B13" s="69"/>
    </row>
    <row r="14" spans="1:4" ht="12.75" customHeight="1" x14ac:dyDescent="0.2">
      <c r="A14" s="171"/>
      <c r="B14" s="171"/>
      <c r="C14" s="171"/>
      <c r="D14" s="172"/>
    </row>
    <row r="15" spans="1:4" ht="12.75" customHeight="1" x14ac:dyDescent="0.2">
      <c r="A15" s="173" t="s">
        <v>116</v>
      </c>
      <c r="B15" s="173"/>
      <c r="C15" s="173"/>
      <c r="D15" s="174"/>
    </row>
    <row r="16" spans="1:4" ht="12.75" customHeight="1" x14ac:dyDescent="0.2">
      <c r="B16" s="72"/>
    </row>
    <row r="17" spans="1:2" ht="12.75" customHeight="1" x14ac:dyDescent="0.2">
      <c r="A17" s="8" t="str">
        <f>'TERR-VRD'!B7</f>
        <v>A - TRAVAUX PREPARATOIRES</v>
      </c>
      <c r="B17" s="72">
        <f>'TERR-VRD'!F20</f>
        <v>0</v>
      </c>
    </row>
    <row r="18" spans="1:2" ht="9" customHeight="1" x14ac:dyDescent="0.2">
      <c r="B18" s="73"/>
    </row>
    <row r="19" spans="1:2" ht="12.75" customHeight="1" x14ac:dyDescent="0.2">
      <c r="A19" s="8" t="str">
        <f>'TERR-VRD'!B21</f>
        <v>B - TERRASSEMENTS</v>
      </c>
      <c r="B19" s="73">
        <f>'TERR-VRD'!F29</f>
        <v>0</v>
      </c>
    </row>
    <row r="20" spans="1:2" ht="9" customHeight="1" x14ac:dyDescent="0.2">
      <c r="B20" s="73"/>
    </row>
    <row r="21" spans="1:2" ht="12.75" customHeight="1" x14ac:dyDescent="0.2">
      <c r="A21" s="8" t="str">
        <f>'TERR-VRD'!B30</f>
        <v>C - RESEAUX D'EAUX PLUVIALES</v>
      </c>
      <c r="B21" s="73">
        <f>'TERR-VRD'!F61</f>
        <v>0</v>
      </c>
    </row>
    <row r="22" spans="1:2" ht="9" customHeight="1" x14ac:dyDescent="0.2">
      <c r="B22" s="73"/>
    </row>
    <row r="23" spans="1:2" ht="12.75" customHeight="1" x14ac:dyDescent="0.2">
      <c r="A23" s="8" t="str">
        <f>'TERR-VRD'!B62</f>
        <v>D - RESEAUX D'EAUX USEES</v>
      </c>
      <c r="B23" s="73">
        <f>'TERR-VRD'!F72</f>
        <v>0</v>
      </c>
    </row>
    <row r="24" spans="1:2" ht="9" customHeight="1" x14ac:dyDescent="0.2">
      <c r="B24" s="73"/>
    </row>
    <row r="25" spans="1:2" ht="12.75" customHeight="1" x14ac:dyDescent="0.2">
      <c r="A25" s="8" t="str">
        <f>'TERR-VRD'!B73</f>
        <v>E - RESEAUX D'EAU POTABLE</v>
      </c>
      <c r="B25" s="73">
        <f>'TERR-VRD'!F80</f>
        <v>0</v>
      </c>
    </row>
    <row r="26" spans="1:2" ht="9" customHeight="1" x14ac:dyDescent="0.2">
      <c r="B26" s="73"/>
    </row>
    <row r="27" spans="1:2" ht="12.75" customHeight="1" x14ac:dyDescent="0.2">
      <c r="A27" s="8" t="str">
        <f>'TERR-VRD'!B81</f>
        <v>F - RESEAUX SECS</v>
      </c>
      <c r="B27" s="73">
        <f>'TERR-VRD'!F92</f>
        <v>0</v>
      </c>
    </row>
    <row r="28" spans="1:2" ht="9" customHeight="1" x14ac:dyDescent="0.2">
      <c r="B28" s="73"/>
    </row>
    <row r="29" spans="1:2" ht="12.75" customHeight="1" x14ac:dyDescent="0.2">
      <c r="A29" s="8" t="str">
        <f>'TERR-VRD'!B93</f>
        <v>G - REVETEMENTS DE SURFACES</v>
      </c>
      <c r="B29" s="73">
        <f>'TERR-VRD'!F101</f>
        <v>0</v>
      </c>
    </row>
    <row r="30" spans="1:2" ht="9" customHeight="1" thickBot="1" x14ac:dyDescent="0.25">
      <c r="B30" s="162"/>
    </row>
    <row r="31" spans="1:2" ht="9" customHeight="1" x14ac:dyDescent="0.2">
      <c r="B31" s="163"/>
    </row>
    <row r="32" spans="1:2" ht="12.75" customHeight="1" x14ac:dyDescent="0.2">
      <c r="A32" s="16" t="s">
        <v>5</v>
      </c>
      <c r="B32" s="164">
        <f>SUM(B17:B30)</f>
        <v>0</v>
      </c>
    </row>
    <row r="33" spans="1:5" ht="9" customHeight="1" x14ac:dyDescent="0.2">
      <c r="A33" s="74"/>
      <c r="B33" s="73"/>
      <c r="E33" s="75"/>
    </row>
    <row r="34" spans="1:5" ht="12.75" customHeight="1" x14ac:dyDescent="0.2">
      <c r="A34" s="76" t="s">
        <v>16</v>
      </c>
      <c r="B34" s="165">
        <f>ROUND(B32*0.2,2)</f>
        <v>0</v>
      </c>
    </row>
    <row r="35" spans="1:5" ht="9" customHeight="1" x14ac:dyDescent="0.2">
      <c r="B35" s="73"/>
    </row>
    <row r="36" spans="1:5" ht="12.75" customHeight="1" x14ac:dyDescent="0.2">
      <c r="A36" s="16" t="s">
        <v>6</v>
      </c>
      <c r="B36" s="164">
        <f>SUM(B32:B34)</f>
        <v>0</v>
      </c>
    </row>
    <row r="37" spans="1:5" ht="12.75" customHeight="1" x14ac:dyDescent="0.2">
      <c r="B37" s="73"/>
    </row>
    <row r="38" spans="1:5" ht="12.75" customHeight="1" x14ac:dyDescent="0.2">
      <c r="B38" s="73"/>
    </row>
    <row r="39" spans="1:5" ht="27.95" customHeight="1" x14ac:dyDescent="0.2">
      <c r="A39" s="166" t="s">
        <v>11</v>
      </c>
      <c r="B39" s="166"/>
      <c r="C39" s="166"/>
      <c r="D39" s="166"/>
      <c r="E39" s="1" t="s">
        <v>12</v>
      </c>
    </row>
    <row r="41" spans="1:5" ht="12.75" customHeight="1" x14ac:dyDescent="0.2">
      <c r="B41" s="8" t="s">
        <v>7</v>
      </c>
    </row>
    <row r="42" spans="1:5" ht="12.75" customHeight="1" x14ac:dyDescent="0.2">
      <c r="B42" s="8" t="s">
        <v>8</v>
      </c>
    </row>
    <row r="43" spans="1:5" ht="12.75" customHeight="1" x14ac:dyDescent="0.2">
      <c r="B43" s="8" t="s">
        <v>9</v>
      </c>
    </row>
    <row r="44" spans="1:5" ht="12.75" customHeight="1" x14ac:dyDescent="0.2">
      <c r="B44" s="77" t="s">
        <v>10</v>
      </c>
    </row>
  </sheetData>
  <mergeCells count="13">
    <mergeCell ref="A1:D1"/>
    <mergeCell ref="A4:C4"/>
    <mergeCell ref="A5:D5"/>
    <mergeCell ref="A39:D39"/>
    <mergeCell ref="A15:D15"/>
    <mergeCell ref="A7:D7"/>
    <mergeCell ref="A8:D8"/>
    <mergeCell ref="A9:D9"/>
    <mergeCell ref="A12:D12"/>
    <mergeCell ref="A11:D11"/>
    <mergeCell ref="A3:D3"/>
    <mergeCell ref="A2:D2"/>
    <mergeCell ref="A14:D1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C3B05-5632-468D-86F9-26E12194D118}">
  <sheetPr>
    <tabColor rgb="FFFFC000"/>
    <pageSetUpPr fitToPage="1"/>
  </sheetPr>
  <dimension ref="A1:O102"/>
  <sheetViews>
    <sheetView showZeros="0" topLeftCell="A47" zoomScaleNormal="100" zoomScaleSheetLayoutView="100" workbookViewId="0">
      <selection activeCell="B70" sqref="B70"/>
    </sheetView>
  </sheetViews>
  <sheetFormatPr baseColWidth="10" defaultColWidth="11.42578125" defaultRowHeight="12.75" x14ac:dyDescent="0.2"/>
  <cols>
    <col min="1" max="1" width="8.7109375" style="3" customWidth="1"/>
    <col min="2" max="2" width="65.7109375" style="3" customWidth="1"/>
    <col min="3" max="3" width="12.7109375" style="31" customWidth="1"/>
    <col min="4" max="4" width="10.7109375" style="3" customWidth="1"/>
    <col min="5" max="5" width="8.7109375" style="3" customWidth="1"/>
    <col min="6" max="6" width="15.7109375" style="31" customWidth="1"/>
    <col min="7" max="7" width="44.28515625" style="3" hidden="1" customWidth="1"/>
    <col min="8" max="8" width="0" style="7" hidden="1" customWidth="1"/>
    <col min="9" max="10" width="0" style="3" hidden="1" customWidth="1"/>
    <col min="11" max="11" width="11.42578125" style="3"/>
    <col min="12" max="12" width="46.28515625" style="3" bestFit="1" customWidth="1"/>
    <col min="13" max="16384" width="11.42578125" style="3"/>
  </cols>
  <sheetData>
    <row r="1" spans="1:14" s="11" customFormat="1" x14ac:dyDescent="0.2">
      <c r="A1" s="56"/>
      <c r="C1" s="12"/>
      <c r="E1" s="13"/>
      <c r="F1" s="14"/>
      <c r="H1" s="6"/>
    </row>
    <row r="2" spans="1:14" s="11" customFormat="1" x14ac:dyDescent="0.2">
      <c r="A2" s="57" t="s">
        <v>79</v>
      </c>
      <c r="C2" s="12"/>
      <c r="E2" s="13"/>
      <c r="F2" s="14"/>
      <c r="H2" s="6"/>
    </row>
    <row r="3" spans="1:14" s="11" customFormat="1" x14ac:dyDescent="0.2">
      <c r="A3" s="58" t="s">
        <v>121</v>
      </c>
      <c r="B3" s="15"/>
      <c r="C3" s="6"/>
      <c r="D3" s="12"/>
      <c r="E3" s="12"/>
      <c r="H3" s="6"/>
    </row>
    <row r="4" spans="1:14" s="11" customFormat="1" x14ac:dyDescent="0.2">
      <c r="A4" s="58"/>
      <c r="B4" s="15"/>
      <c r="C4" s="6"/>
      <c r="D4" s="12"/>
      <c r="E4" s="12"/>
      <c r="H4" s="6"/>
    </row>
    <row r="5" spans="1:14" s="2" customFormat="1" x14ac:dyDescent="0.2">
      <c r="A5" s="50" t="s">
        <v>1</v>
      </c>
      <c r="B5" s="50" t="s">
        <v>2</v>
      </c>
      <c r="C5" s="49" t="s">
        <v>0</v>
      </c>
      <c r="D5" s="182" t="s">
        <v>3</v>
      </c>
      <c r="E5" s="183"/>
      <c r="F5" s="49" t="s">
        <v>4</v>
      </c>
      <c r="H5" s="13"/>
    </row>
    <row r="6" spans="1:14" s="22" customFormat="1" x14ac:dyDescent="0.2">
      <c r="A6" s="18"/>
      <c r="B6" s="19"/>
      <c r="C6" s="20"/>
      <c r="D6" s="21"/>
      <c r="F6" s="23">
        <f t="shared" ref="F6:F19" si="0">IF(D6="pm","pm",D6*C6)</f>
        <v>0</v>
      </c>
      <c r="H6" s="7"/>
    </row>
    <row r="7" spans="1:14" s="22" customFormat="1" x14ac:dyDescent="0.2">
      <c r="A7" s="18"/>
      <c r="B7" s="47" t="s">
        <v>17</v>
      </c>
      <c r="C7" s="20"/>
      <c r="D7" s="39"/>
      <c r="F7" s="23">
        <f t="shared" si="0"/>
        <v>0</v>
      </c>
      <c r="H7" s="7"/>
    </row>
    <row r="8" spans="1:14" s="22" customFormat="1" x14ac:dyDescent="0.2">
      <c r="A8" s="24"/>
      <c r="B8" s="19"/>
      <c r="C8" s="25"/>
      <c r="D8" s="26"/>
      <c r="E8" s="3"/>
      <c r="F8" s="23">
        <f t="shared" si="0"/>
        <v>0</v>
      </c>
      <c r="G8" s="22" t="s">
        <v>241</v>
      </c>
      <c r="H8" s="64" t="e">
        <f>ROUNDUP(116.9+H10+H19+H25+H31,-1)</f>
        <v>#REF!</v>
      </c>
      <c r="I8" s="22" t="s">
        <v>22</v>
      </c>
    </row>
    <row r="9" spans="1:14" s="22" customFormat="1" x14ac:dyDescent="0.2">
      <c r="A9" s="32" t="s">
        <v>157</v>
      </c>
      <c r="B9" s="51" t="s">
        <v>69</v>
      </c>
      <c r="C9" s="25"/>
      <c r="D9" s="26">
        <v>1</v>
      </c>
      <c r="E9" s="40" t="s">
        <v>19</v>
      </c>
      <c r="F9" s="23">
        <f t="shared" si="0"/>
        <v>0</v>
      </c>
      <c r="G9" s="22" t="s">
        <v>242</v>
      </c>
      <c r="H9" s="7">
        <f>ROUNDUP(857.5,-1)</f>
        <v>860</v>
      </c>
      <c r="I9" s="22" t="s">
        <v>22</v>
      </c>
    </row>
    <row r="10" spans="1:14" s="22" customFormat="1" x14ac:dyDescent="0.2">
      <c r="A10" s="32" t="s">
        <v>324</v>
      </c>
      <c r="B10" s="59" t="s">
        <v>70</v>
      </c>
      <c r="C10" s="25"/>
      <c r="D10" s="26">
        <f>ROUNDUP(153.5,-1)</f>
        <v>160</v>
      </c>
      <c r="E10" s="3" t="s">
        <v>20</v>
      </c>
      <c r="F10" s="23">
        <f>IF(D10="pm","pm",D10*C10)</f>
        <v>0</v>
      </c>
      <c r="G10" s="7" t="s">
        <v>232</v>
      </c>
      <c r="H10" s="63" t="e">
        <f>#REF!*0.2</f>
        <v>#REF!</v>
      </c>
      <c r="I10" s="3" t="s">
        <v>22</v>
      </c>
    </row>
    <row r="11" spans="1:14" s="22" customFormat="1" x14ac:dyDescent="0.2">
      <c r="A11" s="32" t="s">
        <v>325</v>
      </c>
      <c r="B11" s="59" t="s">
        <v>194</v>
      </c>
      <c r="C11" s="25"/>
      <c r="D11" s="26">
        <f>ROUNDUP(1491.2,-1)</f>
        <v>1500</v>
      </c>
      <c r="E11" s="3" t="s">
        <v>21</v>
      </c>
      <c r="F11" s="23">
        <f>IF(D11="pm","pm",D11*C11)</f>
        <v>0</v>
      </c>
      <c r="G11" s="7" t="s">
        <v>235</v>
      </c>
      <c r="H11" s="63" t="e">
        <f>#REF!*0.05</f>
        <v>#REF!</v>
      </c>
      <c r="I11" s="3" t="s">
        <v>22</v>
      </c>
    </row>
    <row r="12" spans="1:14" s="22" customFormat="1" x14ac:dyDescent="0.2">
      <c r="A12" s="32" t="s">
        <v>326</v>
      </c>
      <c r="B12" s="59" t="s">
        <v>195</v>
      </c>
      <c r="C12" s="25"/>
      <c r="D12" s="26">
        <v>1</v>
      </c>
      <c r="E12" s="3" t="s">
        <v>19</v>
      </c>
      <c r="F12" s="23">
        <f>IF(D12="pm","pm",D12*C12)</f>
        <v>0</v>
      </c>
      <c r="G12" s="3"/>
      <c r="H12" s="3"/>
      <c r="I12" s="3"/>
    </row>
    <row r="13" spans="1:14" s="22" customFormat="1" x14ac:dyDescent="0.2">
      <c r="A13" s="32" t="s">
        <v>215</v>
      </c>
      <c r="B13" s="59" t="s">
        <v>196</v>
      </c>
      <c r="C13" s="25"/>
      <c r="D13" s="26">
        <f>ROUNDUP(187.1,-1)</f>
        <v>190</v>
      </c>
      <c r="E13" s="3" t="s">
        <v>20</v>
      </c>
      <c r="F13" s="23">
        <f>IF(D13="pm","pm",D13*C13)</f>
        <v>0</v>
      </c>
      <c r="G13" s="62" t="s">
        <v>236</v>
      </c>
      <c r="H13" s="63"/>
      <c r="I13" s="3"/>
    </row>
    <row r="14" spans="1:14" s="22" customFormat="1" x14ac:dyDescent="0.2">
      <c r="A14" s="32" t="s">
        <v>216</v>
      </c>
      <c r="B14" s="59" t="s">
        <v>71</v>
      </c>
      <c r="C14" s="25"/>
      <c r="D14" s="26">
        <v>9</v>
      </c>
      <c r="E14" s="3" t="s">
        <v>23</v>
      </c>
      <c r="F14" s="23">
        <f t="shared" si="0"/>
        <v>0</v>
      </c>
      <c r="G14" s="7" t="s">
        <v>233</v>
      </c>
      <c r="H14" s="63">
        <f>ROUNDUP(48.5,-1)</f>
        <v>50</v>
      </c>
      <c r="I14" s="3" t="s">
        <v>21</v>
      </c>
    </row>
    <row r="15" spans="1:14" s="22" customFormat="1" x14ac:dyDescent="0.2">
      <c r="A15" s="32" t="s">
        <v>217</v>
      </c>
      <c r="B15" s="59" t="s">
        <v>63</v>
      </c>
      <c r="C15" s="25"/>
      <c r="D15" s="26">
        <v>3</v>
      </c>
      <c r="E15" s="3" t="s">
        <v>23</v>
      </c>
      <c r="F15" s="23">
        <f t="shared" si="0"/>
        <v>0</v>
      </c>
      <c r="G15" s="7" t="s">
        <v>237</v>
      </c>
      <c r="H15" s="63">
        <f>ROUNDUP(114.1,-1)</f>
        <v>120</v>
      </c>
      <c r="I15" s="3" t="s">
        <v>21</v>
      </c>
      <c r="M15" s="7"/>
    </row>
    <row r="16" spans="1:14" s="22" customFormat="1" x14ac:dyDescent="0.2">
      <c r="A16" s="32" t="s">
        <v>218</v>
      </c>
      <c r="B16" s="59" t="s">
        <v>95</v>
      </c>
      <c r="C16" s="25"/>
      <c r="D16" s="26">
        <f>ROUNDUP(160.7,-1)</f>
        <v>170</v>
      </c>
      <c r="E16" s="3" t="s">
        <v>20</v>
      </c>
      <c r="F16" s="23">
        <f t="shared" si="0"/>
        <v>0</v>
      </c>
      <c r="G16" s="7" t="s">
        <v>238</v>
      </c>
      <c r="H16" s="63">
        <f>H15*(0.5+0.2)</f>
        <v>84</v>
      </c>
      <c r="I16" s="3" t="s">
        <v>22</v>
      </c>
      <c r="L16" s="62"/>
      <c r="M16" s="63"/>
      <c r="N16" s="3"/>
    </row>
    <row r="17" spans="1:15" s="22" customFormat="1" x14ac:dyDescent="0.2">
      <c r="A17" s="32" t="s">
        <v>219</v>
      </c>
      <c r="B17" s="59" t="s">
        <v>327</v>
      </c>
      <c r="C17" s="25"/>
      <c r="D17" s="26">
        <v>1</v>
      </c>
      <c r="E17" s="3" t="s">
        <v>19</v>
      </c>
      <c r="F17" s="23">
        <f>IF(D17="pm","pm",D17*C17)</f>
        <v>0</v>
      </c>
      <c r="G17" s="7"/>
      <c r="H17" s="63"/>
      <c r="I17" s="3"/>
      <c r="L17" s="22" t="s">
        <v>334</v>
      </c>
      <c r="M17" s="64">
        <v>116</v>
      </c>
      <c r="N17" s="22" t="s">
        <v>22</v>
      </c>
    </row>
    <row r="18" spans="1:15" s="22" customFormat="1" x14ac:dyDescent="0.2">
      <c r="A18" s="32" t="s">
        <v>220</v>
      </c>
      <c r="B18" s="60" t="s">
        <v>72</v>
      </c>
      <c r="C18" s="25"/>
      <c r="D18" s="26">
        <v>1</v>
      </c>
      <c r="E18" s="3" t="s">
        <v>19</v>
      </c>
      <c r="F18" s="23">
        <f>IF(D18="pm","pm",D18*C18)</f>
        <v>0</v>
      </c>
      <c r="G18" s="7" t="s">
        <v>228</v>
      </c>
      <c r="H18" s="63">
        <f>ROUNDUP(247.2,-1)</f>
        <v>250</v>
      </c>
      <c r="I18" s="3" t="s">
        <v>21</v>
      </c>
      <c r="L18" s="22" t="s">
        <v>335</v>
      </c>
      <c r="M18" s="63">
        <v>946</v>
      </c>
      <c r="N18" s="22" t="s">
        <v>22</v>
      </c>
    </row>
    <row r="19" spans="1:15" x14ac:dyDescent="0.2">
      <c r="A19" s="196"/>
      <c r="B19" s="33"/>
      <c r="C19" s="29"/>
      <c r="D19" s="34"/>
      <c r="E19" s="30"/>
      <c r="F19" s="23">
        <f t="shared" si="0"/>
        <v>0</v>
      </c>
      <c r="G19" s="7" t="s">
        <v>229</v>
      </c>
      <c r="H19" s="63">
        <f>H18*0.7</f>
        <v>175</v>
      </c>
      <c r="I19" s="3" t="s">
        <v>22</v>
      </c>
      <c r="L19" s="7"/>
      <c r="M19" s="63"/>
      <c r="O19" s="22"/>
    </row>
    <row r="20" spans="1:15" s="22" customFormat="1" x14ac:dyDescent="0.2">
      <c r="A20" s="32"/>
      <c r="B20" s="41"/>
      <c r="C20" s="25"/>
      <c r="D20" s="180" t="s">
        <v>13</v>
      </c>
      <c r="E20" s="181"/>
      <c r="F20" s="46">
        <f>SUM(F6:F19)</f>
        <v>0</v>
      </c>
      <c r="G20" s="7" t="s">
        <v>230</v>
      </c>
      <c r="H20" s="63">
        <f>H18*0.55</f>
        <v>137.5</v>
      </c>
      <c r="I20" s="3" t="s">
        <v>22</v>
      </c>
      <c r="L20" s="3"/>
      <c r="M20" s="3"/>
      <c r="N20" s="3"/>
    </row>
    <row r="21" spans="1:15" s="22" customFormat="1" x14ac:dyDescent="0.2">
      <c r="A21" s="32"/>
      <c r="B21" s="45" t="s">
        <v>18</v>
      </c>
      <c r="C21" s="25"/>
      <c r="D21" s="39"/>
      <c r="F21" s="23">
        <f t="shared" ref="F21:F28" si="1">IF(D21="pm","pm",D21*C21)</f>
        <v>0</v>
      </c>
      <c r="G21" s="7" t="s">
        <v>234</v>
      </c>
      <c r="H21" s="63">
        <f>H18*0.05</f>
        <v>12.5</v>
      </c>
      <c r="I21" s="3" t="s">
        <v>22</v>
      </c>
      <c r="L21" s="62" t="s">
        <v>330</v>
      </c>
      <c r="M21" s="63"/>
      <c r="N21" s="3"/>
    </row>
    <row r="22" spans="1:15" s="22" customFormat="1" x14ac:dyDescent="0.2">
      <c r="A22" s="32"/>
      <c r="B22" s="19"/>
      <c r="C22" s="25"/>
      <c r="D22" s="26"/>
      <c r="E22" s="3"/>
      <c r="F22" s="23">
        <f t="shared" si="1"/>
        <v>0</v>
      </c>
      <c r="G22" s="3"/>
      <c r="H22" s="7"/>
      <c r="I22" s="3"/>
      <c r="L22" s="7" t="s">
        <v>233</v>
      </c>
      <c r="M22" s="63">
        <f>ROUNDUP(48.5,-1)</f>
        <v>50</v>
      </c>
      <c r="N22" s="3" t="s">
        <v>21</v>
      </c>
    </row>
    <row r="23" spans="1:15" s="22" customFormat="1" x14ac:dyDescent="0.2">
      <c r="A23" s="32" t="s">
        <v>221</v>
      </c>
      <c r="B23" s="55" t="s">
        <v>227</v>
      </c>
      <c r="C23" s="25"/>
      <c r="D23" s="26">
        <f>ROUNDUP(1582.8*0.2,-1)</f>
        <v>320</v>
      </c>
      <c r="E23" s="3" t="s">
        <v>22</v>
      </c>
      <c r="F23" s="23">
        <f t="shared" si="1"/>
        <v>0</v>
      </c>
      <c r="G23" s="62" t="s">
        <v>239</v>
      </c>
      <c r="H23" s="7"/>
      <c r="I23" s="3"/>
      <c r="L23" s="7" t="s">
        <v>331</v>
      </c>
      <c r="M23" s="63">
        <v>80</v>
      </c>
      <c r="N23" s="3" t="s">
        <v>21</v>
      </c>
      <c r="O23" s="3"/>
    </row>
    <row r="24" spans="1:15" s="22" customFormat="1" x14ac:dyDescent="0.2">
      <c r="A24" s="32" t="s">
        <v>254</v>
      </c>
      <c r="B24" s="55" t="s">
        <v>244</v>
      </c>
      <c r="C24" s="25"/>
      <c r="D24" s="26">
        <v>200</v>
      </c>
      <c r="E24" s="3" t="s">
        <v>22</v>
      </c>
      <c r="F24" s="23">
        <f t="shared" si="1"/>
        <v>0</v>
      </c>
      <c r="G24" s="7" t="s">
        <v>228</v>
      </c>
      <c r="H24" s="63">
        <f>ROUNDUP(52.8,-1)</f>
        <v>60</v>
      </c>
      <c r="I24" s="3" t="s">
        <v>21</v>
      </c>
      <c r="L24" s="150" t="s">
        <v>238</v>
      </c>
      <c r="M24" s="151">
        <f>M23*0.5+M22*0.1</f>
        <v>45</v>
      </c>
      <c r="N24" s="152" t="s">
        <v>22</v>
      </c>
      <c r="O24" s="152"/>
    </row>
    <row r="25" spans="1:15" x14ac:dyDescent="0.2">
      <c r="A25" s="32" t="s">
        <v>255</v>
      </c>
      <c r="B25" s="27" t="s">
        <v>67</v>
      </c>
      <c r="C25" s="25"/>
      <c r="D25" s="26">
        <v>800</v>
      </c>
      <c r="E25" s="3" t="s">
        <v>21</v>
      </c>
      <c r="F25" s="23">
        <f t="shared" si="1"/>
        <v>0</v>
      </c>
      <c r="G25" s="7" t="s">
        <v>229</v>
      </c>
      <c r="H25" s="63">
        <f>H24*0.7</f>
        <v>42</v>
      </c>
      <c r="I25" s="3" t="s">
        <v>22</v>
      </c>
      <c r="L25" s="7"/>
      <c r="M25" s="63"/>
      <c r="O25" s="22"/>
    </row>
    <row r="26" spans="1:15" x14ac:dyDescent="0.2">
      <c r="A26" s="32" t="s">
        <v>256</v>
      </c>
      <c r="B26" s="54" t="s">
        <v>243</v>
      </c>
      <c r="C26" s="25"/>
      <c r="D26" s="26">
        <f>ROUNDUP(M53,-1)</f>
        <v>810</v>
      </c>
      <c r="E26" s="3" t="s">
        <v>22</v>
      </c>
      <c r="F26" s="23">
        <f t="shared" si="1"/>
        <v>0</v>
      </c>
      <c r="G26" s="7" t="s">
        <v>230</v>
      </c>
      <c r="H26" s="63">
        <f>H24*0.55</f>
        <v>33</v>
      </c>
      <c r="I26" s="3" t="s">
        <v>22</v>
      </c>
      <c r="L26" s="62" t="s">
        <v>231</v>
      </c>
      <c r="M26" s="7"/>
      <c r="O26" s="22"/>
    </row>
    <row r="27" spans="1:15" x14ac:dyDescent="0.2">
      <c r="A27" s="32" t="s">
        <v>222</v>
      </c>
      <c r="B27" s="27" t="s">
        <v>56</v>
      </c>
      <c r="C27" s="25"/>
      <c r="D27" s="26">
        <v>3</v>
      </c>
      <c r="E27" s="3" t="s">
        <v>23</v>
      </c>
      <c r="F27" s="23">
        <f t="shared" si="1"/>
        <v>0</v>
      </c>
      <c r="G27" s="7" t="s">
        <v>234</v>
      </c>
      <c r="H27" s="63">
        <f>H24*0.05</f>
        <v>3</v>
      </c>
      <c r="I27" s="3" t="s">
        <v>22</v>
      </c>
      <c r="L27" s="7" t="s">
        <v>228</v>
      </c>
      <c r="M27" s="63">
        <f>ROUNDUP(247.2,-1)</f>
        <v>250</v>
      </c>
      <c r="N27" s="3" t="s">
        <v>21</v>
      </c>
      <c r="O27" s="22"/>
    </row>
    <row r="28" spans="1:15" x14ac:dyDescent="0.2">
      <c r="A28" s="196"/>
      <c r="B28" s="197"/>
      <c r="C28" s="29"/>
      <c r="D28" s="26"/>
      <c r="F28" s="23">
        <f t="shared" si="1"/>
        <v>0</v>
      </c>
      <c r="L28" s="7" t="s">
        <v>229</v>
      </c>
      <c r="M28" s="63">
        <f>M27*0.7</f>
        <v>175</v>
      </c>
      <c r="N28" s="3" t="s">
        <v>22</v>
      </c>
    </row>
    <row r="29" spans="1:15" x14ac:dyDescent="0.2">
      <c r="A29" s="32"/>
      <c r="B29" s="19"/>
      <c r="C29" s="25"/>
      <c r="D29" s="180" t="s">
        <v>14</v>
      </c>
      <c r="E29" s="181"/>
      <c r="F29" s="46">
        <f>SUM(F21:F28)</f>
        <v>0</v>
      </c>
      <c r="G29" s="62" t="s">
        <v>240</v>
      </c>
      <c r="L29" s="153" t="s">
        <v>230</v>
      </c>
      <c r="M29" s="154">
        <f>M27*0.55</f>
        <v>137.5</v>
      </c>
      <c r="N29" s="155" t="s">
        <v>22</v>
      </c>
    </row>
    <row r="30" spans="1:15" x14ac:dyDescent="0.2">
      <c r="A30" s="32"/>
      <c r="B30" s="47" t="s">
        <v>25</v>
      </c>
      <c r="C30" s="25"/>
      <c r="D30" s="26"/>
      <c r="E30" s="22"/>
      <c r="F30" s="23">
        <f t="shared" ref="F30:F60" si="2">IF(D30="pm","pm",D30*C30)</f>
        <v>0</v>
      </c>
      <c r="G30" s="7" t="s">
        <v>228</v>
      </c>
      <c r="H30" s="63">
        <f>ROUNDUP(201.2,-1)</f>
        <v>210</v>
      </c>
      <c r="I30" s="3" t="s">
        <v>21</v>
      </c>
      <c r="L30" s="150" t="s">
        <v>234</v>
      </c>
      <c r="M30" s="151">
        <f>M27*0.05</f>
        <v>12.5</v>
      </c>
      <c r="N30" s="152" t="s">
        <v>22</v>
      </c>
      <c r="O30" s="152"/>
    </row>
    <row r="31" spans="1:15" x14ac:dyDescent="0.2">
      <c r="A31" s="32"/>
      <c r="B31" s="36"/>
      <c r="C31" s="25"/>
      <c r="D31" s="26"/>
      <c r="F31" s="23">
        <f t="shared" si="2"/>
        <v>0</v>
      </c>
      <c r="G31" s="7" t="s">
        <v>229</v>
      </c>
      <c r="H31" s="63">
        <f>H30*0.3</f>
        <v>63</v>
      </c>
      <c r="I31" s="3" t="s">
        <v>22</v>
      </c>
      <c r="M31" s="7"/>
      <c r="O31" s="22"/>
    </row>
    <row r="32" spans="1:15" x14ac:dyDescent="0.2">
      <c r="A32" s="32" t="s">
        <v>257</v>
      </c>
      <c r="B32" s="59" t="s">
        <v>66</v>
      </c>
      <c r="C32" s="25"/>
      <c r="D32" s="26">
        <v>340</v>
      </c>
      <c r="E32" s="40" t="s">
        <v>20</v>
      </c>
      <c r="F32" s="23">
        <f t="shared" si="2"/>
        <v>0</v>
      </c>
      <c r="G32" s="7" t="s">
        <v>230</v>
      </c>
      <c r="H32" s="63">
        <f>H30*0.55</f>
        <v>115.50000000000001</v>
      </c>
      <c r="I32" s="3" t="s">
        <v>22</v>
      </c>
      <c r="J32" s="7"/>
      <c r="L32" s="62" t="s">
        <v>239</v>
      </c>
      <c r="M32" s="7"/>
      <c r="O32" s="22"/>
    </row>
    <row r="33" spans="1:15" x14ac:dyDescent="0.2">
      <c r="A33" s="32" t="s">
        <v>258</v>
      </c>
      <c r="B33" s="59" t="s">
        <v>40</v>
      </c>
      <c r="C33" s="25"/>
      <c r="D33" s="26">
        <v>340</v>
      </c>
      <c r="E33" s="40" t="s">
        <v>20</v>
      </c>
      <c r="F33" s="23">
        <f t="shared" si="2"/>
        <v>0</v>
      </c>
      <c r="G33" s="7" t="s">
        <v>234</v>
      </c>
      <c r="H33" s="63">
        <f>H30*0.05</f>
        <v>10.5</v>
      </c>
      <c r="I33" s="3" t="s">
        <v>22</v>
      </c>
      <c r="J33" s="7"/>
      <c r="L33" s="7" t="s">
        <v>228</v>
      </c>
      <c r="M33" s="63">
        <f>ROUNDUP(52.8,-1)</f>
        <v>60</v>
      </c>
      <c r="N33" s="3" t="s">
        <v>21</v>
      </c>
      <c r="O33" s="22"/>
    </row>
    <row r="34" spans="1:15" x14ac:dyDescent="0.2">
      <c r="A34" s="32" t="s">
        <v>259</v>
      </c>
      <c r="B34" s="61" t="s">
        <v>54</v>
      </c>
      <c r="C34" s="25"/>
      <c r="D34" s="26">
        <f>ROUNDUP(20.4,-1)</f>
        <v>30</v>
      </c>
      <c r="E34" s="3" t="s">
        <v>20</v>
      </c>
      <c r="F34" s="23">
        <f>IF(D34="pm","pm",D34*C34)</f>
        <v>0</v>
      </c>
      <c r="J34" s="7"/>
      <c r="L34" s="7" t="s">
        <v>229</v>
      </c>
      <c r="M34" s="63">
        <f>M33*0.7</f>
        <v>42</v>
      </c>
      <c r="N34" s="3" t="s">
        <v>22</v>
      </c>
    </row>
    <row r="35" spans="1:15" x14ac:dyDescent="0.2">
      <c r="A35" s="32" t="s">
        <v>260</v>
      </c>
      <c r="B35" s="59" t="s">
        <v>41</v>
      </c>
      <c r="C35" s="25"/>
      <c r="D35" s="38">
        <f>ROUNDUP(160,-1)</f>
        <v>160</v>
      </c>
      <c r="E35" s="40" t="s">
        <v>20</v>
      </c>
      <c r="F35" s="23">
        <f t="shared" si="2"/>
        <v>0</v>
      </c>
      <c r="G35" s="3" t="s">
        <v>245</v>
      </c>
      <c r="H35" s="7">
        <v>192.7</v>
      </c>
      <c r="I35" s="3" t="s">
        <v>22</v>
      </c>
      <c r="J35" s="3" t="s">
        <v>246</v>
      </c>
      <c r="L35" s="153" t="s">
        <v>230</v>
      </c>
      <c r="M35" s="154">
        <f>M33*0.55</f>
        <v>33</v>
      </c>
      <c r="N35" s="155" t="s">
        <v>22</v>
      </c>
    </row>
    <row r="36" spans="1:15" x14ac:dyDescent="0.2">
      <c r="A36" s="32" t="s">
        <v>261</v>
      </c>
      <c r="B36" s="59" t="s">
        <v>42</v>
      </c>
      <c r="C36" s="25"/>
      <c r="D36" s="38">
        <f>ROUNDUP(44.1,-1)</f>
        <v>50</v>
      </c>
      <c r="E36" s="40" t="s">
        <v>20</v>
      </c>
      <c r="F36" s="23">
        <f t="shared" si="2"/>
        <v>0</v>
      </c>
      <c r="G36" s="3" t="s">
        <v>247</v>
      </c>
      <c r="H36" s="7">
        <v>51.7</v>
      </c>
      <c r="I36" s="3" t="s">
        <v>22</v>
      </c>
      <c r="J36" s="3" t="s">
        <v>246</v>
      </c>
      <c r="L36" s="150" t="s">
        <v>234</v>
      </c>
      <c r="M36" s="151">
        <f>M33*0.05</f>
        <v>3</v>
      </c>
      <c r="N36" s="152" t="s">
        <v>22</v>
      </c>
    </row>
    <row r="37" spans="1:15" x14ac:dyDescent="0.2">
      <c r="A37" s="32" t="s">
        <v>262</v>
      </c>
      <c r="B37" s="59" t="s">
        <v>214</v>
      </c>
      <c r="C37" s="25"/>
      <c r="D37" s="38">
        <f>ROUNDUP(44.8,-1)</f>
        <v>50</v>
      </c>
      <c r="E37" s="40" t="s">
        <v>20</v>
      </c>
      <c r="F37" s="23">
        <f t="shared" si="2"/>
        <v>0</v>
      </c>
      <c r="J37" s="22"/>
      <c r="M37" s="7"/>
    </row>
    <row r="38" spans="1:15" x14ac:dyDescent="0.2">
      <c r="A38" s="32" t="s">
        <v>263</v>
      </c>
      <c r="B38" s="59" t="s">
        <v>199</v>
      </c>
      <c r="C38" s="25"/>
      <c r="D38" s="38">
        <f>ROUNDUP(78.9,-1)</f>
        <v>80</v>
      </c>
      <c r="E38" s="40" t="s">
        <v>20</v>
      </c>
      <c r="F38" s="23">
        <f t="shared" si="2"/>
        <v>0</v>
      </c>
      <c r="J38" s="22"/>
      <c r="L38" s="62" t="s">
        <v>240</v>
      </c>
      <c r="M38" s="7"/>
    </row>
    <row r="39" spans="1:15" s="22" customFormat="1" x14ac:dyDescent="0.2">
      <c r="A39" s="32" t="s">
        <v>223</v>
      </c>
      <c r="B39" s="59" t="s">
        <v>90</v>
      </c>
      <c r="C39" s="25"/>
      <c r="D39" s="38">
        <v>3</v>
      </c>
      <c r="E39" s="40" t="s">
        <v>23</v>
      </c>
      <c r="F39" s="23">
        <f t="shared" si="2"/>
        <v>0</v>
      </c>
      <c r="G39" s="3"/>
      <c r="H39" s="7"/>
      <c r="I39" s="3"/>
      <c r="L39" s="7" t="s">
        <v>228</v>
      </c>
      <c r="M39" s="63">
        <f>ROUNDUP(201.2,-1)</f>
        <v>210</v>
      </c>
      <c r="N39" s="3" t="s">
        <v>21</v>
      </c>
      <c r="O39" s="3"/>
    </row>
    <row r="40" spans="1:15" s="22" customFormat="1" x14ac:dyDescent="0.2">
      <c r="A40" s="32" t="s">
        <v>264</v>
      </c>
      <c r="B40" s="59" t="s">
        <v>200</v>
      </c>
      <c r="C40" s="25"/>
      <c r="D40" s="26">
        <v>4</v>
      </c>
      <c r="E40" s="40" t="s">
        <v>23</v>
      </c>
      <c r="F40" s="23">
        <f t="shared" si="2"/>
        <v>0</v>
      </c>
      <c r="G40" s="3"/>
      <c r="H40" s="7"/>
      <c r="I40" s="3"/>
      <c r="J40" s="3"/>
      <c r="L40" s="7" t="s">
        <v>229</v>
      </c>
      <c r="M40" s="63">
        <f>M39*0.3</f>
        <v>63</v>
      </c>
      <c r="N40" s="3" t="s">
        <v>22</v>
      </c>
      <c r="O40" s="3"/>
    </row>
    <row r="41" spans="1:15" x14ac:dyDescent="0.2">
      <c r="A41" s="32" t="s">
        <v>265</v>
      </c>
      <c r="B41" s="59" t="s">
        <v>43</v>
      </c>
      <c r="C41" s="25"/>
      <c r="D41" s="26">
        <v>1</v>
      </c>
      <c r="E41" s="40" t="s">
        <v>23</v>
      </c>
      <c r="F41" s="23">
        <f>IF(D41="pm","pm",D41*C41)</f>
        <v>0</v>
      </c>
      <c r="L41" s="153" t="s">
        <v>333</v>
      </c>
      <c r="M41" s="154">
        <f>90*1</f>
        <v>90</v>
      </c>
      <c r="N41" s="155" t="s">
        <v>22</v>
      </c>
    </row>
    <row r="42" spans="1:15" s="22" customFormat="1" x14ac:dyDescent="0.2">
      <c r="A42" s="32" t="s">
        <v>266</v>
      </c>
      <c r="B42" s="59" t="s">
        <v>201</v>
      </c>
      <c r="C42" s="25"/>
      <c r="D42" s="26">
        <v>1</v>
      </c>
      <c r="E42" s="40" t="s">
        <v>23</v>
      </c>
      <c r="F42" s="23">
        <f t="shared" si="2"/>
        <v>0</v>
      </c>
      <c r="G42" s="3"/>
      <c r="H42" s="7"/>
      <c r="I42" s="3"/>
      <c r="J42" s="3"/>
      <c r="L42" s="153" t="s">
        <v>230</v>
      </c>
      <c r="M42" s="154">
        <f>M39*0.55</f>
        <v>115.50000000000001</v>
      </c>
      <c r="N42" s="155" t="s">
        <v>22</v>
      </c>
      <c r="O42" s="3"/>
    </row>
    <row r="43" spans="1:15" x14ac:dyDescent="0.2">
      <c r="A43" s="32" t="s">
        <v>267</v>
      </c>
      <c r="B43" s="59" t="s">
        <v>213</v>
      </c>
      <c r="C43" s="25"/>
      <c r="D43" s="26">
        <v>1</v>
      </c>
      <c r="E43" s="40" t="s">
        <v>23</v>
      </c>
      <c r="F43" s="23">
        <f t="shared" si="2"/>
        <v>0</v>
      </c>
      <c r="L43" s="150" t="s">
        <v>234</v>
      </c>
      <c r="M43" s="151">
        <f>M39*0.05</f>
        <v>10.5</v>
      </c>
      <c r="N43" s="152" t="s">
        <v>22</v>
      </c>
    </row>
    <row r="44" spans="1:15" x14ac:dyDescent="0.2">
      <c r="A44" s="32" t="s">
        <v>268</v>
      </c>
      <c r="B44" s="59" t="s">
        <v>44</v>
      </c>
      <c r="C44" s="25"/>
      <c r="D44" s="26">
        <v>3</v>
      </c>
      <c r="E44" s="40" t="s">
        <v>23</v>
      </c>
      <c r="F44" s="23">
        <f t="shared" si="2"/>
        <v>0</v>
      </c>
      <c r="G44" s="22"/>
      <c r="I44" s="22"/>
      <c r="M44" s="7"/>
      <c r="O44" s="7"/>
    </row>
    <row r="45" spans="1:15" x14ac:dyDescent="0.2">
      <c r="A45" s="32" t="s">
        <v>269</v>
      </c>
      <c r="B45" s="59" t="s">
        <v>45</v>
      </c>
      <c r="C45" s="25"/>
      <c r="D45" s="26">
        <v>1</v>
      </c>
      <c r="E45" s="40" t="s">
        <v>23</v>
      </c>
      <c r="F45" s="23">
        <f t="shared" si="2"/>
        <v>0</v>
      </c>
      <c r="G45" s="22"/>
      <c r="I45" s="22"/>
      <c r="L45" s="62" t="s">
        <v>337</v>
      </c>
      <c r="M45" s="7"/>
    </row>
    <row r="46" spans="1:15" x14ac:dyDescent="0.2">
      <c r="A46" s="32" t="s">
        <v>270</v>
      </c>
      <c r="B46" s="59" t="s">
        <v>197</v>
      </c>
      <c r="C46" s="25"/>
      <c r="D46" s="26">
        <v>1</v>
      </c>
      <c r="E46" s="40" t="s">
        <v>23</v>
      </c>
      <c r="F46" s="23">
        <f t="shared" si="2"/>
        <v>0</v>
      </c>
      <c r="G46" s="22"/>
      <c r="I46" s="22"/>
      <c r="L46" s="7" t="s">
        <v>338</v>
      </c>
      <c r="M46" s="63">
        <v>1024</v>
      </c>
      <c r="N46" s="22" t="s">
        <v>22</v>
      </c>
    </row>
    <row r="47" spans="1:15" x14ac:dyDescent="0.2">
      <c r="A47" s="32" t="s">
        <v>271</v>
      </c>
      <c r="B47" s="61" t="s">
        <v>202</v>
      </c>
      <c r="C47" s="25"/>
      <c r="D47" s="26">
        <v>6</v>
      </c>
      <c r="E47" s="3" t="s">
        <v>20</v>
      </c>
      <c r="F47" s="23">
        <f t="shared" si="2"/>
        <v>0</v>
      </c>
      <c r="G47" s="22"/>
      <c r="I47" s="22"/>
      <c r="J47" s="22"/>
      <c r="L47" s="150" t="s">
        <v>339</v>
      </c>
      <c r="M47" s="151">
        <f>M46*0.05</f>
        <v>51.2</v>
      </c>
      <c r="N47" s="152" t="s">
        <v>22</v>
      </c>
    </row>
    <row r="48" spans="1:15" x14ac:dyDescent="0.2">
      <c r="A48" s="32" t="s">
        <v>272</v>
      </c>
      <c r="B48" s="61" t="s">
        <v>203</v>
      </c>
      <c r="C48" s="25"/>
      <c r="D48" s="26">
        <f>ROUNDUP(7.45+4+5.5,-1)</f>
        <v>20</v>
      </c>
      <c r="E48" s="3" t="s">
        <v>20</v>
      </c>
      <c r="F48" s="23">
        <f t="shared" si="2"/>
        <v>0</v>
      </c>
      <c r="G48" s="22"/>
      <c r="I48" s="22"/>
      <c r="J48" s="22"/>
      <c r="M48" s="7"/>
    </row>
    <row r="49" spans="1:15" s="22" customFormat="1" x14ac:dyDescent="0.2">
      <c r="A49" s="32" t="s">
        <v>273</v>
      </c>
      <c r="B49" s="59" t="s">
        <v>59</v>
      </c>
      <c r="C49" s="25"/>
      <c r="D49" s="26">
        <v>1</v>
      </c>
      <c r="E49" s="40" t="s">
        <v>23</v>
      </c>
      <c r="F49" s="23">
        <f t="shared" si="2"/>
        <v>0</v>
      </c>
      <c r="H49" s="7"/>
      <c r="J49" s="3"/>
      <c r="L49" s="3"/>
      <c r="M49" s="7"/>
      <c r="N49" s="3"/>
      <c r="O49" s="3"/>
    </row>
    <row r="50" spans="1:15" s="22" customFormat="1" x14ac:dyDescent="0.2">
      <c r="A50" s="32" t="s">
        <v>274</v>
      </c>
      <c r="B50" s="59" t="s">
        <v>198</v>
      </c>
      <c r="C50" s="25"/>
      <c r="D50" s="38">
        <v>2</v>
      </c>
      <c r="E50" s="40" t="s">
        <v>23</v>
      </c>
      <c r="F50" s="23">
        <f t="shared" si="2"/>
        <v>0</v>
      </c>
      <c r="H50" s="7"/>
      <c r="J50" s="3"/>
      <c r="L50" s="155" t="s">
        <v>245</v>
      </c>
      <c r="M50" s="153">
        <v>193</v>
      </c>
      <c r="N50" s="155" t="s">
        <v>22</v>
      </c>
    </row>
    <row r="51" spans="1:15" x14ac:dyDescent="0.2">
      <c r="A51" s="32" t="s">
        <v>275</v>
      </c>
      <c r="B51" s="59" t="s">
        <v>204</v>
      </c>
      <c r="C51" s="25"/>
      <c r="D51" s="38">
        <v>5</v>
      </c>
      <c r="E51" s="40" t="s">
        <v>23</v>
      </c>
      <c r="F51" s="23">
        <f t="shared" si="2"/>
        <v>0</v>
      </c>
      <c r="G51" s="22"/>
      <c r="I51" s="22"/>
      <c r="L51" s="155" t="s">
        <v>247</v>
      </c>
      <c r="M51" s="153">
        <v>133</v>
      </c>
      <c r="N51" s="155" t="s">
        <v>22</v>
      </c>
      <c r="O51" s="22"/>
    </row>
    <row r="52" spans="1:15" x14ac:dyDescent="0.2">
      <c r="A52" s="32" t="s">
        <v>276</v>
      </c>
      <c r="B52" s="59" t="s">
        <v>91</v>
      </c>
      <c r="C52" s="25"/>
      <c r="D52" s="38">
        <v>3</v>
      </c>
      <c r="E52" s="40" t="s">
        <v>23</v>
      </c>
      <c r="F52" s="23">
        <f t="shared" si="2"/>
        <v>0</v>
      </c>
      <c r="G52" s="22"/>
      <c r="I52" s="22"/>
      <c r="O52" s="22"/>
    </row>
    <row r="53" spans="1:15" x14ac:dyDescent="0.2">
      <c r="A53" s="32" t="s">
        <v>277</v>
      </c>
      <c r="B53" s="59" t="s">
        <v>92</v>
      </c>
      <c r="C53" s="25"/>
      <c r="D53" s="38">
        <f>ROUNDUP(289.2,-1)</f>
        <v>290</v>
      </c>
      <c r="E53" s="40" t="s">
        <v>21</v>
      </c>
      <c r="F53" s="23">
        <f t="shared" si="2"/>
        <v>0</v>
      </c>
      <c r="G53" s="22"/>
      <c r="I53" s="22"/>
      <c r="L53" s="158" t="s">
        <v>336</v>
      </c>
      <c r="M53" s="159">
        <f>M29+M41+M35+M42+M50+M51+100</f>
        <v>802</v>
      </c>
      <c r="N53" s="158" t="s">
        <v>22</v>
      </c>
    </row>
    <row r="54" spans="1:15" x14ac:dyDescent="0.2">
      <c r="A54" s="32" t="s">
        <v>278</v>
      </c>
      <c r="B54" s="59" t="s">
        <v>205</v>
      </c>
      <c r="C54" s="25"/>
      <c r="D54" s="38">
        <v>1</v>
      </c>
      <c r="E54" s="40" t="s">
        <v>23</v>
      </c>
      <c r="F54" s="23">
        <f t="shared" si="2"/>
        <v>0</v>
      </c>
      <c r="G54" s="22"/>
      <c r="I54" s="22"/>
      <c r="L54" s="156" t="s">
        <v>332</v>
      </c>
      <c r="M54" s="157">
        <f>M24+M30+M36+M43+M47+20</f>
        <v>142.19999999999999</v>
      </c>
      <c r="N54" s="156" t="s">
        <v>22</v>
      </c>
    </row>
    <row r="55" spans="1:15" x14ac:dyDescent="0.2">
      <c r="A55" s="32" t="s">
        <v>279</v>
      </c>
      <c r="B55" s="59" t="s">
        <v>206</v>
      </c>
      <c r="C55" s="25"/>
      <c r="D55" s="38">
        <v>1</v>
      </c>
      <c r="E55" s="40" t="s">
        <v>23</v>
      </c>
      <c r="F55" s="23">
        <f t="shared" si="2"/>
        <v>0</v>
      </c>
      <c r="G55" s="22"/>
      <c r="I55" s="22"/>
    </row>
    <row r="56" spans="1:15" x14ac:dyDescent="0.2">
      <c r="A56" s="32" t="s">
        <v>280</v>
      </c>
      <c r="B56" s="59" t="s">
        <v>328</v>
      </c>
      <c r="C56" s="25"/>
      <c r="D56" s="38">
        <v>1</v>
      </c>
      <c r="E56" s="40" t="s">
        <v>23</v>
      </c>
      <c r="F56" s="23">
        <f t="shared" si="2"/>
        <v>0</v>
      </c>
      <c r="G56" s="22"/>
      <c r="I56" s="22"/>
      <c r="M56" s="161"/>
    </row>
    <row r="57" spans="1:15" x14ac:dyDescent="0.2">
      <c r="A57" s="32" t="s">
        <v>281</v>
      </c>
      <c r="B57" s="59" t="s">
        <v>46</v>
      </c>
      <c r="C57" s="25"/>
      <c r="D57" s="26">
        <v>1</v>
      </c>
      <c r="E57" s="40" t="s">
        <v>23</v>
      </c>
      <c r="F57" s="23">
        <f t="shared" si="2"/>
        <v>0</v>
      </c>
      <c r="G57" s="22"/>
      <c r="I57" s="22"/>
      <c r="M57" s="7"/>
    </row>
    <row r="58" spans="1:15" x14ac:dyDescent="0.2">
      <c r="A58" s="32" t="s">
        <v>282</v>
      </c>
      <c r="B58" s="59" t="s">
        <v>62</v>
      </c>
      <c r="C58" s="25"/>
      <c r="D58" s="26">
        <v>2</v>
      </c>
      <c r="E58" s="40" t="s">
        <v>23</v>
      </c>
      <c r="F58" s="23">
        <f t="shared" si="2"/>
        <v>0</v>
      </c>
      <c r="G58" s="22"/>
      <c r="I58" s="22"/>
      <c r="M58" s="160"/>
    </row>
    <row r="59" spans="1:15" x14ac:dyDescent="0.2">
      <c r="A59" s="32" t="s">
        <v>283</v>
      </c>
      <c r="B59" s="59" t="s">
        <v>47</v>
      </c>
      <c r="C59" s="25"/>
      <c r="D59" s="26">
        <v>1</v>
      </c>
      <c r="E59" s="40" t="s">
        <v>19</v>
      </c>
      <c r="F59" s="23">
        <f t="shared" si="2"/>
        <v>0</v>
      </c>
      <c r="G59" s="22"/>
      <c r="I59" s="22"/>
    </row>
    <row r="60" spans="1:15" x14ac:dyDescent="0.2">
      <c r="A60" s="196"/>
      <c r="B60" s="48"/>
      <c r="C60" s="29"/>
      <c r="D60" s="26"/>
      <c r="E60" s="40"/>
      <c r="F60" s="23">
        <f t="shared" si="2"/>
        <v>0</v>
      </c>
      <c r="G60" s="22"/>
      <c r="I60" s="22"/>
    </row>
    <row r="61" spans="1:15" x14ac:dyDescent="0.2">
      <c r="A61" s="32"/>
      <c r="B61" s="198"/>
      <c r="C61" s="25"/>
      <c r="D61" s="180" t="s">
        <v>15</v>
      </c>
      <c r="E61" s="181"/>
      <c r="F61" s="46">
        <f>SUM(F30:F60)</f>
        <v>0</v>
      </c>
      <c r="G61" s="22"/>
      <c r="I61" s="22"/>
      <c r="L61" s="153"/>
      <c r="M61" s="154"/>
      <c r="N61" s="155"/>
    </row>
    <row r="62" spans="1:15" x14ac:dyDescent="0.2">
      <c r="A62" s="32"/>
      <c r="B62" s="47" t="s">
        <v>39</v>
      </c>
      <c r="C62" s="25"/>
      <c r="D62" s="26"/>
      <c r="F62" s="23">
        <f t="shared" ref="F62:F71" si="3">IF(D62="pm","pm",D62*C62)</f>
        <v>0</v>
      </c>
      <c r="G62" s="22"/>
      <c r="I62" s="22"/>
      <c r="L62" s="153"/>
      <c r="M62" s="154"/>
      <c r="N62" s="155"/>
    </row>
    <row r="63" spans="1:15" x14ac:dyDescent="0.2">
      <c r="A63" s="32"/>
      <c r="B63" s="41"/>
      <c r="C63" s="25"/>
      <c r="D63" s="26"/>
      <c r="F63" s="23">
        <f t="shared" si="3"/>
        <v>0</v>
      </c>
      <c r="G63" s="22"/>
      <c r="I63" s="22"/>
      <c r="L63" s="150"/>
      <c r="M63" s="151"/>
      <c r="N63" s="152"/>
    </row>
    <row r="64" spans="1:15" x14ac:dyDescent="0.2">
      <c r="A64" s="32" t="s">
        <v>284</v>
      </c>
      <c r="B64" s="59" t="s">
        <v>88</v>
      </c>
      <c r="C64" s="25"/>
      <c r="D64" s="26">
        <f>ROUNDUP(14.9,-1)</f>
        <v>20</v>
      </c>
      <c r="E64" s="3" t="s">
        <v>20</v>
      </c>
      <c r="F64" s="23">
        <f>IF(D64="pm","pm",D64*C64)</f>
        <v>0</v>
      </c>
      <c r="G64" s="22"/>
      <c r="I64" s="22"/>
    </row>
    <row r="65" spans="1:14" x14ac:dyDescent="0.2">
      <c r="A65" s="32" t="s">
        <v>285</v>
      </c>
      <c r="B65" s="61" t="s">
        <v>48</v>
      </c>
      <c r="C65" s="25"/>
      <c r="D65" s="26">
        <f>ROUNDUP(14.9,-1)</f>
        <v>20</v>
      </c>
      <c r="E65" s="3" t="s">
        <v>20</v>
      </c>
      <c r="F65" s="23">
        <f t="shared" si="3"/>
        <v>0</v>
      </c>
      <c r="G65" s="22"/>
      <c r="I65" s="22"/>
    </row>
    <row r="66" spans="1:14" x14ac:dyDescent="0.2">
      <c r="A66" s="32" t="s">
        <v>286</v>
      </c>
      <c r="B66" s="53" t="s">
        <v>89</v>
      </c>
      <c r="C66" s="25"/>
      <c r="D66" s="26">
        <v>1</v>
      </c>
      <c r="E66" s="3" t="s">
        <v>23</v>
      </c>
      <c r="F66" s="23">
        <f t="shared" si="3"/>
        <v>0</v>
      </c>
      <c r="G66" s="22"/>
      <c r="I66" s="22"/>
    </row>
    <row r="67" spans="1:14" x14ac:dyDescent="0.2">
      <c r="A67" s="32" t="s">
        <v>287</v>
      </c>
      <c r="B67" s="41" t="s">
        <v>211</v>
      </c>
      <c r="C67" s="25"/>
      <c r="D67" s="26">
        <v>2</v>
      </c>
      <c r="E67" s="3" t="s">
        <v>23</v>
      </c>
      <c r="F67" s="23">
        <f t="shared" si="3"/>
        <v>0</v>
      </c>
      <c r="G67" s="32" t="s">
        <v>288</v>
      </c>
      <c r="H67" s="41" t="s">
        <v>211</v>
      </c>
      <c r="I67" s="25">
        <v>-346</v>
      </c>
      <c r="J67" s="26">
        <v>-694</v>
      </c>
    </row>
    <row r="68" spans="1:14" x14ac:dyDescent="0.2">
      <c r="A68" s="32" t="s">
        <v>288</v>
      </c>
      <c r="B68" s="41" t="s">
        <v>329</v>
      </c>
      <c r="C68" s="25"/>
      <c r="D68" s="26">
        <v>1</v>
      </c>
      <c r="E68" s="3" t="s">
        <v>23</v>
      </c>
      <c r="F68" s="23"/>
      <c r="G68" s="22"/>
      <c r="I68" s="22"/>
    </row>
    <row r="69" spans="1:14" x14ac:dyDescent="0.2">
      <c r="A69" s="32" t="s">
        <v>289</v>
      </c>
      <c r="B69" s="41" t="s">
        <v>346</v>
      </c>
      <c r="C69" s="25"/>
      <c r="D69" s="26">
        <v>1</v>
      </c>
      <c r="E69" s="3" t="s">
        <v>19</v>
      </c>
      <c r="F69" s="23" t="s">
        <v>347</v>
      </c>
      <c r="G69" s="22"/>
      <c r="I69" s="22"/>
      <c r="J69" s="22"/>
    </row>
    <row r="70" spans="1:14" x14ac:dyDescent="0.2">
      <c r="A70" s="32" t="s">
        <v>290</v>
      </c>
      <c r="B70" s="41" t="s">
        <v>49</v>
      </c>
      <c r="C70" s="25"/>
      <c r="D70" s="26">
        <v>1</v>
      </c>
      <c r="E70" s="3" t="s">
        <v>19</v>
      </c>
      <c r="F70" s="23">
        <f t="shared" ref="F70" si="4">IF(D70="pm","pm",D70*C70)</f>
        <v>0</v>
      </c>
      <c r="G70" s="22"/>
      <c r="I70" s="22"/>
      <c r="J70" s="22"/>
    </row>
    <row r="71" spans="1:14" x14ac:dyDescent="0.2">
      <c r="A71" s="196"/>
      <c r="B71" s="48"/>
      <c r="C71" s="29"/>
      <c r="D71" s="26"/>
      <c r="F71" s="23">
        <f t="shared" si="3"/>
        <v>0</v>
      </c>
      <c r="G71" s="22"/>
      <c r="I71" s="22"/>
      <c r="J71" s="22"/>
    </row>
    <row r="72" spans="1:14" s="22" customFormat="1" x14ac:dyDescent="0.2">
      <c r="A72" s="32"/>
      <c r="B72" s="198"/>
      <c r="C72" s="20"/>
      <c r="D72" s="180" t="s">
        <v>24</v>
      </c>
      <c r="E72" s="181"/>
      <c r="F72" s="46">
        <f>SUM(F62:F71)</f>
        <v>0</v>
      </c>
      <c r="H72" s="7"/>
      <c r="L72" s="3"/>
      <c r="M72" s="3"/>
      <c r="N72" s="3"/>
    </row>
    <row r="73" spans="1:14" s="22" customFormat="1" x14ac:dyDescent="0.2">
      <c r="A73" s="32"/>
      <c r="B73" s="47" t="s">
        <v>50</v>
      </c>
      <c r="C73" s="25"/>
      <c r="D73" s="26"/>
      <c r="E73" s="3"/>
      <c r="F73" s="23">
        <f t="shared" ref="F73:F79" si="5">IF(D73="pm","pm",D73*C73)</f>
        <v>0</v>
      </c>
      <c r="G73" s="3"/>
      <c r="H73" s="7"/>
      <c r="I73" s="3"/>
      <c r="L73" s="3"/>
      <c r="M73" s="3"/>
      <c r="N73" s="3"/>
    </row>
    <row r="74" spans="1:14" s="22" customFormat="1" x14ac:dyDescent="0.2">
      <c r="A74" s="32"/>
      <c r="B74" s="41"/>
      <c r="C74" s="25"/>
      <c r="D74" s="26"/>
      <c r="E74" s="3"/>
      <c r="F74" s="23">
        <f t="shared" si="5"/>
        <v>0</v>
      </c>
      <c r="G74" s="3"/>
      <c r="H74" s="7"/>
      <c r="I74" s="3"/>
    </row>
    <row r="75" spans="1:14" s="22" customFormat="1" x14ac:dyDescent="0.2">
      <c r="A75" s="32" t="s">
        <v>224</v>
      </c>
      <c r="B75" s="59" t="s">
        <v>73</v>
      </c>
      <c r="C75" s="25"/>
      <c r="D75" s="26">
        <f>ROUNDUP(6.4,-1)</f>
        <v>10</v>
      </c>
      <c r="E75" s="3" t="s">
        <v>20</v>
      </c>
      <c r="F75" s="23">
        <f>IF(D75="pm","pm",D75*C75)</f>
        <v>0</v>
      </c>
      <c r="G75" s="3"/>
      <c r="H75" s="7"/>
      <c r="I75" s="3"/>
    </row>
    <row r="76" spans="1:14" s="22" customFormat="1" x14ac:dyDescent="0.2">
      <c r="A76" s="32" t="s">
        <v>291</v>
      </c>
      <c r="B76" s="41" t="s">
        <v>65</v>
      </c>
      <c r="C76" s="25"/>
      <c r="D76" s="26">
        <f>ROUNDUP(6.4,-1)</f>
        <v>10</v>
      </c>
      <c r="E76" s="3" t="s">
        <v>20</v>
      </c>
      <c r="F76" s="23">
        <f t="shared" si="5"/>
        <v>0</v>
      </c>
      <c r="G76" s="3"/>
      <c r="H76" s="7"/>
      <c r="I76" s="3"/>
    </row>
    <row r="77" spans="1:14" s="22" customFormat="1" x14ac:dyDescent="0.2">
      <c r="A77" s="32" t="s">
        <v>292</v>
      </c>
      <c r="B77" s="61" t="s">
        <v>51</v>
      </c>
      <c r="C77" s="25"/>
      <c r="D77" s="26">
        <f>ROUNDUP(6.4,-1)</f>
        <v>10</v>
      </c>
      <c r="E77" s="3" t="s">
        <v>20</v>
      </c>
      <c r="F77" s="23">
        <f t="shared" si="5"/>
        <v>0</v>
      </c>
      <c r="G77" s="3"/>
      <c r="H77" s="7"/>
      <c r="I77" s="3"/>
    </row>
    <row r="78" spans="1:14" s="22" customFormat="1" x14ac:dyDescent="0.2">
      <c r="A78" s="32" t="s">
        <v>293</v>
      </c>
      <c r="B78" s="41" t="s">
        <v>57</v>
      </c>
      <c r="C78" s="25"/>
      <c r="D78" s="26">
        <v>1</v>
      </c>
      <c r="E78" s="3" t="s">
        <v>23</v>
      </c>
      <c r="F78" s="23">
        <f t="shared" si="5"/>
        <v>0</v>
      </c>
      <c r="G78" s="3"/>
      <c r="H78" s="7"/>
      <c r="I78" s="3"/>
    </row>
    <row r="79" spans="1:14" s="22" customFormat="1" x14ac:dyDescent="0.2">
      <c r="A79" s="196"/>
      <c r="B79" s="48"/>
      <c r="C79" s="29"/>
      <c r="D79" s="34"/>
      <c r="E79" s="30"/>
      <c r="F79" s="43">
        <f t="shared" si="5"/>
        <v>0</v>
      </c>
      <c r="G79" s="3"/>
      <c r="H79" s="7"/>
      <c r="I79" s="3"/>
    </row>
    <row r="80" spans="1:14" s="22" customFormat="1" x14ac:dyDescent="0.2">
      <c r="A80" s="32"/>
      <c r="B80" s="41"/>
      <c r="C80" s="20"/>
      <c r="D80" s="184" t="s">
        <v>29</v>
      </c>
      <c r="E80" s="185"/>
      <c r="F80" s="44">
        <f>SUM(F73:F79)</f>
        <v>0</v>
      </c>
      <c r="G80" s="3"/>
      <c r="H80" s="7"/>
      <c r="I80" s="3"/>
    </row>
    <row r="81" spans="1:12" s="22" customFormat="1" x14ac:dyDescent="0.2">
      <c r="A81" s="32"/>
      <c r="B81" s="47" t="s">
        <v>52</v>
      </c>
      <c r="C81" s="25"/>
      <c r="D81" s="26"/>
      <c r="E81" s="3"/>
      <c r="F81" s="23">
        <f t="shared" ref="F81:F90" si="6">IF(D81="pm","pm",D81*C81)</f>
        <v>0</v>
      </c>
      <c r="G81" s="3"/>
      <c r="H81" s="7"/>
      <c r="I81" s="3"/>
    </row>
    <row r="82" spans="1:12" s="22" customFormat="1" x14ac:dyDescent="0.2">
      <c r="A82" s="32"/>
      <c r="B82" s="41"/>
      <c r="C82" s="25"/>
      <c r="D82" s="26"/>
      <c r="E82" s="3"/>
      <c r="F82" s="23">
        <f t="shared" si="6"/>
        <v>0</v>
      </c>
      <c r="G82" s="3"/>
      <c r="H82" s="7"/>
      <c r="I82" s="3"/>
    </row>
    <row r="83" spans="1:12" s="22" customFormat="1" x14ac:dyDescent="0.2">
      <c r="A83" s="32" t="s">
        <v>294</v>
      </c>
      <c r="B83" s="41" t="s">
        <v>210</v>
      </c>
      <c r="C83" s="25"/>
      <c r="D83" s="26">
        <f>ROUNDUP(169.81+6,-1)</f>
        <v>180</v>
      </c>
      <c r="E83" s="3" t="s">
        <v>20</v>
      </c>
      <c r="F83" s="23">
        <f t="shared" si="6"/>
        <v>0</v>
      </c>
      <c r="G83" s="3"/>
      <c r="H83" s="7"/>
      <c r="I83" s="3"/>
    </row>
    <row r="84" spans="1:12" s="22" customFormat="1" x14ac:dyDescent="0.2">
      <c r="A84" s="32" t="s">
        <v>225</v>
      </c>
      <c r="B84" s="41" t="s">
        <v>65</v>
      </c>
      <c r="C84" s="25"/>
      <c r="D84" s="26">
        <f>ROUNDUP(169.81+6,-1)</f>
        <v>180</v>
      </c>
      <c r="E84" s="3" t="s">
        <v>20</v>
      </c>
      <c r="F84" s="23">
        <f t="shared" si="6"/>
        <v>0</v>
      </c>
      <c r="G84" s="3"/>
      <c r="H84" s="7"/>
      <c r="I84" s="3"/>
    </row>
    <row r="85" spans="1:12" s="22" customFormat="1" x14ac:dyDescent="0.2">
      <c r="A85" s="32" t="s">
        <v>295</v>
      </c>
      <c r="B85" s="61" t="s">
        <v>60</v>
      </c>
      <c r="C85" s="25"/>
      <c r="D85" s="26">
        <f>ROUNDUP(65.8,-1)</f>
        <v>70</v>
      </c>
      <c r="E85" s="3" t="s">
        <v>20</v>
      </c>
      <c r="F85" s="23">
        <f t="shared" si="6"/>
        <v>0</v>
      </c>
      <c r="G85" s="3"/>
      <c r="H85" s="7"/>
      <c r="I85" s="3"/>
    </row>
    <row r="86" spans="1:12" s="22" customFormat="1" ht="25.5" x14ac:dyDescent="0.2">
      <c r="A86" s="32" t="s">
        <v>296</v>
      </c>
      <c r="B86" s="61" t="s">
        <v>208</v>
      </c>
      <c r="C86" s="25"/>
      <c r="D86" s="26">
        <f>ROUNDUP(185.9,-1)</f>
        <v>190</v>
      </c>
      <c r="E86" s="3" t="s">
        <v>20</v>
      </c>
      <c r="F86" s="23">
        <f t="shared" si="6"/>
        <v>0</v>
      </c>
      <c r="G86" s="3"/>
      <c r="H86" s="7"/>
      <c r="I86" s="3"/>
    </row>
    <row r="87" spans="1:12" s="22" customFormat="1" ht="12.75" customHeight="1" x14ac:dyDescent="0.2">
      <c r="A87" s="32" t="s">
        <v>297</v>
      </c>
      <c r="B87" s="61" t="s">
        <v>209</v>
      </c>
      <c r="C87" s="25"/>
      <c r="D87" s="26">
        <f>ROUNDUP(35.4,-1)</f>
        <v>40</v>
      </c>
      <c r="E87" s="3" t="s">
        <v>20</v>
      </c>
      <c r="F87" s="23">
        <f t="shared" si="6"/>
        <v>0</v>
      </c>
      <c r="G87" s="3"/>
      <c r="H87" s="7"/>
      <c r="I87" s="3"/>
    </row>
    <row r="88" spans="1:12" s="22" customFormat="1" x14ac:dyDescent="0.2">
      <c r="A88" s="32" t="s">
        <v>226</v>
      </c>
      <c r="B88" s="61" t="s">
        <v>61</v>
      </c>
      <c r="C88" s="25"/>
      <c r="D88" s="38">
        <f>ROUNDUP(105.9,-1)</f>
        <v>110</v>
      </c>
      <c r="E88" s="3" t="s">
        <v>20</v>
      </c>
      <c r="F88" s="23">
        <f t="shared" si="6"/>
        <v>0</v>
      </c>
      <c r="G88" s="3"/>
      <c r="H88" s="7"/>
      <c r="I88" s="3"/>
    </row>
    <row r="89" spans="1:12" s="22" customFormat="1" x14ac:dyDescent="0.2">
      <c r="A89" s="32" t="s">
        <v>298</v>
      </c>
      <c r="B89" s="41" t="s">
        <v>94</v>
      </c>
      <c r="C89" s="25"/>
      <c r="D89" s="26">
        <v>3</v>
      </c>
      <c r="E89" s="3" t="s">
        <v>23</v>
      </c>
      <c r="F89" s="23">
        <f t="shared" si="6"/>
        <v>0</v>
      </c>
      <c r="G89" s="3"/>
      <c r="H89" s="7"/>
      <c r="I89" s="3"/>
    </row>
    <row r="90" spans="1:12" s="22" customFormat="1" x14ac:dyDescent="0.2">
      <c r="A90" s="32" t="s">
        <v>299</v>
      </c>
      <c r="B90" s="41" t="s">
        <v>93</v>
      </c>
      <c r="C90" s="25"/>
      <c r="D90" s="26">
        <v>7</v>
      </c>
      <c r="E90" s="3" t="s">
        <v>23</v>
      </c>
      <c r="F90" s="23">
        <f t="shared" si="6"/>
        <v>0</v>
      </c>
      <c r="G90" s="3"/>
      <c r="H90" s="7"/>
      <c r="I90" s="3"/>
    </row>
    <row r="91" spans="1:12" s="22" customFormat="1" x14ac:dyDescent="0.2">
      <c r="A91" s="196"/>
      <c r="B91" s="48"/>
      <c r="C91" s="29"/>
      <c r="D91" s="34"/>
      <c r="E91" s="30"/>
      <c r="F91" s="43">
        <f>IF(D91="pm","pm",D91*C91)</f>
        <v>0</v>
      </c>
      <c r="G91" s="3"/>
      <c r="H91" s="7"/>
      <c r="I91" s="3"/>
    </row>
    <row r="92" spans="1:12" s="22" customFormat="1" x14ac:dyDescent="0.2">
      <c r="A92" s="32"/>
      <c r="B92" s="41"/>
      <c r="C92" s="20"/>
      <c r="D92" s="184" t="s">
        <v>53</v>
      </c>
      <c r="E92" s="185"/>
      <c r="F92" s="44">
        <f>SUM(F81:F91)</f>
        <v>0</v>
      </c>
      <c r="G92" s="3"/>
      <c r="H92" s="7"/>
      <c r="I92" s="3"/>
    </row>
    <row r="93" spans="1:12" s="22" customFormat="1" x14ac:dyDescent="0.2">
      <c r="A93" s="32"/>
      <c r="B93" s="45" t="s">
        <v>68</v>
      </c>
      <c r="C93" s="20"/>
      <c r="D93" s="39"/>
      <c r="F93" s="23">
        <f t="shared" ref="F93:F100" si="7">IF(D93="pm","pm",D93*C93)</f>
        <v>0</v>
      </c>
      <c r="G93" s="3"/>
      <c r="H93" s="7"/>
      <c r="I93" s="3"/>
    </row>
    <row r="94" spans="1:12" s="22" customFormat="1" x14ac:dyDescent="0.2">
      <c r="A94" s="32"/>
      <c r="B94" s="42"/>
      <c r="C94" s="25"/>
      <c r="D94" s="26"/>
      <c r="E94" s="3"/>
      <c r="F94" s="23">
        <f t="shared" si="7"/>
        <v>0</v>
      </c>
      <c r="G94" s="3"/>
      <c r="H94" s="7"/>
      <c r="I94" s="3"/>
    </row>
    <row r="95" spans="1:12" s="22" customFormat="1" x14ac:dyDescent="0.2">
      <c r="A95" s="32" t="s">
        <v>300</v>
      </c>
      <c r="B95" s="35" t="s">
        <v>86</v>
      </c>
      <c r="C95" s="25"/>
      <c r="D95" s="3">
        <f>ROUNDUP(213.7,-1)</f>
        <v>220</v>
      </c>
      <c r="E95" s="3" t="s">
        <v>20</v>
      </c>
      <c r="F95" s="23">
        <f t="shared" si="7"/>
        <v>0</v>
      </c>
      <c r="G95" s="3" t="s">
        <v>249</v>
      </c>
      <c r="H95" s="7">
        <v>18.3</v>
      </c>
      <c r="I95" s="3" t="s">
        <v>22</v>
      </c>
      <c r="J95" s="3" t="s">
        <v>248</v>
      </c>
      <c r="L95" s="3"/>
    </row>
    <row r="96" spans="1:12" s="22" customFormat="1" x14ac:dyDescent="0.2">
      <c r="A96" s="32" t="s">
        <v>301</v>
      </c>
      <c r="B96" s="27" t="s">
        <v>87</v>
      </c>
      <c r="C96" s="25"/>
      <c r="D96" s="3">
        <v>150</v>
      </c>
      <c r="E96" s="3" t="s">
        <v>22</v>
      </c>
      <c r="F96" s="23">
        <f t="shared" si="7"/>
        <v>0</v>
      </c>
      <c r="G96" s="3" t="s">
        <v>249</v>
      </c>
      <c r="H96" s="7">
        <v>9.6</v>
      </c>
      <c r="I96" s="3" t="s">
        <v>22</v>
      </c>
      <c r="J96" s="3" t="s">
        <v>248</v>
      </c>
      <c r="L96" s="3"/>
    </row>
    <row r="97" spans="1:14" s="22" customFormat="1" x14ac:dyDescent="0.2">
      <c r="A97" s="32" t="s">
        <v>302</v>
      </c>
      <c r="B97" s="54" t="s">
        <v>130</v>
      </c>
      <c r="C97" s="25"/>
      <c r="D97" s="3">
        <f>ROUNDUP(1541.7,-1)</f>
        <v>1550</v>
      </c>
      <c r="E97" s="3" t="s">
        <v>21</v>
      </c>
      <c r="F97" s="23">
        <f t="shared" si="7"/>
        <v>0</v>
      </c>
      <c r="G97" s="3" t="s">
        <v>250</v>
      </c>
      <c r="H97" s="7">
        <v>91.2</v>
      </c>
      <c r="I97" s="3" t="s">
        <v>22</v>
      </c>
      <c r="J97" s="3" t="s">
        <v>248</v>
      </c>
    </row>
    <row r="98" spans="1:14" ht="12.75" customHeight="1" x14ac:dyDescent="0.2">
      <c r="A98" s="32" t="s">
        <v>303</v>
      </c>
      <c r="B98" s="55" t="s">
        <v>323</v>
      </c>
      <c r="C98" s="20"/>
      <c r="D98" s="3">
        <f>ROUNDUP(1008.6*0.2,-1)</f>
        <v>210</v>
      </c>
      <c r="E98" s="3" t="s">
        <v>22</v>
      </c>
      <c r="F98" s="52">
        <f>IF(D98="pm","pm",D98*C98)</f>
        <v>0</v>
      </c>
      <c r="H98" s="3"/>
      <c r="L98" s="22"/>
      <c r="M98" s="22"/>
      <c r="N98" s="22"/>
    </row>
    <row r="99" spans="1:14" s="22" customFormat="1" x14ac:dyDescent="0.2">
      <c r="A99" s="32" t="s">
        <v>354</v>
      </c>
      <c r="B99" s="27" t="s">
        <v>58</v>
      </c>
      <c r="C99" s="25"/>
      <c r="D99" s="26">
        <v>1</v>
      </c>
      <c r="E99" s="3" t="s">
        <v>19</v>
      </c>
      <c r="F99" s="23">
        <f t="shared" si="7"/>
        <v>0</v>
      </c>
      <c r="G99" s="3" t="s">
        <v>253</v>
      </c>
      <c r="H99" s="7">
        <v>9</v>
      </c>
      <c r="I99" s="3" t="s">
        <v>22</v>
      </c>
      <c r="J99" s="3" t="s">
        <v>251</v>
      </c>
    </row>
    <row r="100" spans="1:14" x14ac:dyDescent="0.2">
      <c r="A100" s="28"/>
      <c r="B100" s="37"/>
      <c r="C100" s="29"/>
      <c r="D100" s="34"/>
      <c r="E100" s="30"/>
      <c r="F100" s="23">
        <f t="shared" si="7"/>
        <v>0</v>
      </c>
      <c r="G100" s="3" t="s">
        <v>252</v>
      </c>
      <c r="H100" s="7">
        <v>394.7</v>
      </c>
      <c r="I100" s="3" t="s">
        <v>22</v>
      </c>
      <c r="J100" s="3" t="s">
        <v>251</v>
      </c>
    </row>
    <row r="101" spans="1:14" x14ac:dyDescent="0.2">
      <c r="A101" s="31"/>
      <c r="B101" s="31"/>
      <c r="D101" s="180" t="s">
        <v>55</v>
      </c>
      <c r="E101" s="181"/>
      <c r="F101" s="46">
        <f>SUM(F93:F100)</f>
        <v>0</v>
      </c>
      <c r="L101" s="22"/>
      <c r="M101" s="22"/>
      <c r="N101" s="22"/>
    </row>
    <row r="102" spans="1:14" x14ac:dyDescent="0.2">
      <c r="A102" s="31"/>
      <c r="B102" s="31"/>
    </row>
  </sheetData>
  <dataConsolidate>
    <dataRefs count="1">
      <dataRef ref="A1:F1" r:id="rId1"/>
    </dataRefs>
  </dataConsolidate>
  <mergeCells count="8">
    <mergeCell ref="D101:E101"/>
    <mergeCell ref="D5:E5"/>
    <mergeCell ref="D20:E20"/>
    <mergeCell ref="D29:E29"/>
    <mergeCell ref="D61:E61"/>
    <mergeCell ref="D72:E72"/>
    <mergeCell ref="D80:E80"/>
    <mergeCell ref="D92:E92"/>
  </mergeCells>
  <phoneticPr fontId="14" type="noConversion"/>
  <printOptions horizontalCentered="1"/>
  <pageMargins left="0.25" right="0.25" top="0.75" bottom="0.75" header="0.3" footer="0.3"/>
  <pageSetup paperSize="9" scale="82" firstPageNumber="2" fitToHeight="0" orientation="portrait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D2C73-9D5D-46DE-9806-F21CEC7CF8F6}">
  <sheetPr>
    <tabColor rgb="FF00B0F0"/>
    <pageSetUpPr fitToPage="1"/>
  </sheetPr>
  <dimension ref="A1:E37"/>
  <sheetViews>
    <sheetView zoomScaleNormal="100" zoomScaleSheetLayoutView="85" workbookViewId="0">
      <selection activeCell="A28" sqref="A28:A29"/>
    </sheetView>
  </sheetViews>
  <sheetFormatPr baseColWidth="10" defaultColWidth="11.42578125" defaultRowHeight="12.75" customHeight="1" x14ac:dyDescent="0.2"/>
  <cols>
    <col min="1" max="1" width="55.7109375" style="8" customWidth="1"/>
    <col min="2" max="2" width="16.28515625" style="8" customWidth="1"/>
    <col min="3" max="3" width="7.7109375" style="8" customWidth="1"/>
    <col min="4" max="4" width="14.42578125" style="8" customWidth="1"/>
    <col min="5" max="16384" width="11.42578125" style="8"/>
  </cols>
  <sheetData>
    <row r="1" spans="1:4" ht="12.75" customHeight="1" x14ac:dyDescent="0.2">
      <c r="A1" s="175" t="s">
        <v>74</v>
      </c>
      <c r="B1" s="175"/>
      <c r="C1" s="175"/>
      <c r="D1" s="168"/>
    </row>
    <row r="2" spans="1:4" ht="12.75" customHeight="1" x14ac:dyDescent="0.2">
      <c r="A2" s="77"/>
      <c r="B2" s="77"/>
      <c r="C2" s="77"/>
    </row>
    <row r="3" spans="1:4" ht="12.75" customHeight="1" x14ac:dyDescent="0.2">
      <c r="A3" s="167" t="s">
        <v>75</v>
      </c>
      <c r="B3" s="167"/>
      <c r="C3" s="167"/>
      <c r="D3" s="168"/>
    </row>
    <row r="4" spans="1:4" ht="12.75" customHeight="1" x14ac:dyDescent="0.2">
      <c r="A4" s="113"/>
      <c r="B4" s="113"/>
      <c r="C4" s="113"/>
    </row>
    <row r="5" spans="1:4" ht="12.75" customHeight="1" x14ac:dyDescent="0.2">
      <c r="A5" s="177" t="s">
        <v>310</v>
      </c>
      <c r="B5" s="177"/>
      <c r="C5" s="177"/>
      <c r="D5" s="178"/>
    </row>
    <row r="6" spans="1:4" ht="80.099999999999994" customHeight="1" x14ac:dyDescent="0.2">
      <c r="A6" s="113"/>
      <c r="B6" s="113"/>
      <c r="C6" s="111"/>
    </row>
    <row r="7" spans="1:4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111"/>
      <c r="B10" s="69"/>
    </row>
    <row r="11" spans="1:4" ht="12.75" customHeight="1" x14ac:dyDescent="0.2">
      <c r="A11" s="167"/>
      <c r="B11" s="167"/>
      <c r="C11" s="167"/>
      <c r="D11" s="168"/>
    </row>
    <row r="12" spans="1:4" s="112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111"/>
      <c r="B13" s="69"/>
    </row>
    <row r="14" spans="1:4" ht="12.75" customHeight="1" x14ac:dyDescent="0.2">
      <c r="A14" s="133"/>
      <c r="B14" s="133"/>
      <c r="C14" s="133"/>
      <c r="D14" s="1"/>
    </row>
    <row r="15" spans="1:4" ht="12.75" customHeight="1" x14ac:dyDescent="0.2">
      <c r="A15" s="173" t="s">
        <v>105</v>
      </c>
      <c r="B15" s="173"/>
      <c r="C15" s="173"/>
      <c r="D15" s="174"/>
    </row>
    <row r="16" spans="1:4" ht="12.75" customHeight="1" x14ac:dyDescent="0.2">
      <c r="B16" s="72"/>
    </row>
    <row r="17" spans="1:5" ht="12.75" customHeight="1" x14ac:dyDescent="0.2">
      <c r="A17" s="8" t="str">
        <f>'GC-BÂTIMENT'!B7</f>
        <v>A - GENIE CIVIL</v>
      </c>
      <c r="B17" s="73">
        <f>'GC-BÂTIMENT'!F14</f>
        <v>0</v>
      </c>
    </row>
    <row r="18" spans="1:5" ht="9" customHeight="1" x14ac:dyDescent="0.2">
      <c r="B18" s="73"/>
    </row>
    <row r="19" spans="1:5" ht="12.75" customHeight="1" x14ac:dyDescent="0.2">
      <c r="A19" s="8" t="str">
        <f>'GC-BÂTIMENT'!B15</f>
        <v>B - BÂTIMENTS</v>
      </c>
      <c r="B19" s="73">
        <f>'GC-BÂTIMENT'!F20</f>
        <v>0</v>
      </c>
    </row>
    <row r="20" spans="1:5" ht="9" customHeight="1" thickBot="1" x14ac:dyDescent="0.25">
      <c r="B20" s="73"/>
    </row>
    <row r="21" spans="1:5" ht="9" customHeight="1" x14ac:dyDescent="0.2">
      <c r="B21" s="163"/>
    </row>
    <row r="22" spans="1:5" ht="12.75" customHeight="1" x14ac:dyDescent="0.2">
      <c r="A22" s="16" t="s">
        <v>5</v>
      </c>
      <c r="B22" s="164">
        <f>SUM(B17:B21)</f>
        <v>0</v>
      </c>
    </row>
    <row r="23" spans="1:5" ht="9" customHeight="1" x14ac:dyDescent="0.2">
      <c r="A23" s="74"/>
      <c r="B23" s="73"/>
      <c r="E23" s="75"/>
    </row>
    <row r="24" spans="1:5" ht="12.75" customHeight="1" x14ac:dyDescent="0.2">
      <c r="A24" s="76" t="s">
        <v>16</v>
      </c>
      <c r="B24" s="165">
        <f>ROUND(B22*0.2,2)</f>
        <v>0</v>
      </c>
    </row>
    <row r="25" spans="1:5" ht="9" customHeight="1" x14ac:dyDescent="0.2">
      <c r="B25" s="73"/>
    </row>
    <row r="26" spans="1:5" ht="12.75" customHeight="1" x14ac:dyDescent="0.2">
      <c r="A26" s="16" t="s">
        <v>6</v>
      </c>
      <c r="B26" s="164">
        <f>SUM(B22:B24)</f>
        <v>0</v>
      </c>
    </row>
    <row r="27" spans="1:5" ht="12.75" customHeight="1" x14ac:dyDescent="0.2">
      <c r="B27" s="73"/>
    </row>
    <row r="29" spans="1:5" ht="12.75" customHeight="1" x14ac:dyDescent="0.2">
      <c r="A29" s="77"/>
    </row>
    <row r="32" spans="1:5" ht="27.95" customHeight="1" x14ac:dyDescent="0.2">
      <c r="A32" s="166" t="s">
        <v>11</v>
      </c>
      <c r="B32" s="166"/>
      <c r="C32" s="166"/>
      <c r="D32" s="166"/>
      <c r="E32" s="1" t="s">
        <v>12</v>
      </c>
    </row>
    <row r="34" spans="2:2" ht="12.75" customHeight="1" x14ac:dyDescent="0.2">
      <c r="B34" s="8" t="s">
        <v>7</v>
      </c>
    </row>
    <row r="35" spans="2:2" ht="12.75" customHeight="1" x14ac:dyDescent="0.2">
      <c r="B35" s="8" t="s">
        <v>8</v>
      </c>
    </row>
    <row r="36" spans="2:2" ht="12.75" customHeight="1" x14ac:dyDescent="0.2">
      <c r="B36" s="8" t="s">
        <v>9</v>
      </c>
    </row>
    <row r="37" spans="2:2" ht="12.75" customHeight="1" x14ac:dyDescent="0.2">
      <c r="B37" s="77" t="s">
        <v>10</v>
      </c>
    </row>
  </sheetData>
  <mergeCells count="10">
    <mergeCell ref="A7:D7"/>
    <mergeCell ref="A1:D1"/>
    <mergeCell ref="A3:D3"/>
    <mergeCell ref="A5:D5"/>
    <mergeCell ref="A32:D32"/>
    <mergeCell ref="A8:D8"/>
    <mergeCell ref="A9:D9"/>
    <mergeCell ref="A11:D11"/>
    <mergeCell ref="A12:D12"/>
    <mergeCell ref="A15:D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D7B68-802E-4EB7-A7B5-6F79545DE4C5}">
  <sheetPr>
    <tabColor rgb="FF00B0F0"/>
    <pageSetUpPr fitToPage="1"/>
  </sheetPr>
  <dimension ref="A1:H23"/>
  <sheetViews>
    <sheetView showZeros="0" zoomScaleNormal="100" zoomScaleSheetLayoutView="100" workbookViewId="0">
      <selection activeCell="G1" sqref="G1"/>
    </sheetView>
  </sheetViews>
  <sheetFormatPr baseColWidth="10" defaultColWidth="11.42578125" defaultRowHeight="12.75" customHeight="1" x14ac:dyDescent="0.2"/>
  <cols>
    <col min="1" max="1" width="8.7109375" style="8" customWidth="1"/>
    <col min="2" max="2" width="65.7109375" style="8" customWidth="1"/>
    <col min="3" max="3" width="12.7109375" style="108" customWidth="1"/>
    <col min="4" max="4" width="10.7109375" style="8" customWidth="1"/>
    <col min="5" max="5" width="8.7109375" style="8" customWidth="1"/>
    <col min="6" max="6" width="15.7109375" style="108" customWidth="1"/>
    <col min="7" max="16384" width="11.42578125" style="8"/>
  </cols>
  <sheetData>
    <row r="1" spans="1:6" s="78" customFormat="1" ht="12.75" customHeight="1" x14ac:dyDescent="0.2">
      <c r="C1" s="17"/>
      <c r="E1" s="79"/>
      <c r="F1" s="80"/>
    </row>
    <row r="2" spans="1:6" s="78" customFormat="1" ht="12.75" customHeight="1" x14ac:dyDescent="0.2">
      <c r="A2" s="9" t="s">
        <v>79</v>
      </c>
      <c r="C2" s="17"/>
      <c r="E2" s="79"/>
      <c r="F2" s="80"/>
    </row>
    <row r="3" spans="1:6" s="78" customFormat="1" ht="12.75" customHeight="1" x14ac:dyDescent="0.2">
      <c r="A3" s="10" t="s">
        <v>106</v>
      </c>
      <c r="B3" s="81"/>
      <c r="D3" s="16"/>
      <c r="E3" s="17"/>
      <c r="F3" s="17"/>
    </row>
    <row r="4" spans="1:6" s="78" customFormat="1" ht="12.75" customHeight="1" x14ac:dyDescent="0.2">
      <c r="A4" s="10"/>
      <c r="B4" s="81"/>
      <c r="D4" s="16"/>
      <c r="E4" s="17"/>
      <c r="F4" s="17"/>
    </row>
    <row r="5" spans="1:6" s="84" customFormat="1" ht="12.75" customHeight="1" x14ac:dyDescent="0.2">
      <c r="A5" s="82" t="s">
        <v>1</v>
      </c>
      <c r="B5" s="82" t="s">
        <v>2</v>
      </c>
      <c r="C5" s="83" t="s">
        <v>0</v>
      </c>
      <c r="D5" s="186" t="s">
        <v>3</v>
      </c>
      <c r="E5" s="187"/>
      <c r="F5" s="83" t="s">
        <v>4</v>
      </c>
    </row>
    <row r="6" spans="1:6" s="91" customFormat="1" ht="12.75" customHeight="1" x14ac:dyDescent="0.2">
      <c r="A6" s="85"/>
      <c r="B6" s="140"/>
      <c r="C6" s="87"/>
      <c r="D6" s="141"/>
      <c r="E6" s="142"/>
      <c r="F6" s="90">
        <f>C6*D6</f>
        <v>0</v>
      </c>
    </row>
    <row r="7" spans="1:6" s="91" customFormat="1" ht="12.75" customHeight="1" x14ac:dyDescent="0.2">
      <c r="A7" s="92"/>
      <c r="B7" s="143" t="s">
        <v>120</v>
      </c>
      <c r="C7" s="94"/>
      <c r="D7" s="144"/>
      <c r="E7" s="145"/>
      <c r="F7" s="96"/>
    </row>
    <row r="8" spans="1:6" ht="12.75" customHeight="1" x14ac:dyDescent="0.2">
      <c r="A8" s="97"/>
      <c r="B8" s="146"/>
      <c r="C8" s="94"/>
      <c r="D8" s="92"/>
      <c r="E8" s="97"/>
      <c r="F8" s="99"/>
    </row>
    <row r="9" spans="1:6" ht="12.75" customHeight="1" x14ac:dyDescent="0.2">
      <c r="A9" s="100" t="s">
        <v>187</v>
      </c>
      <c r="B9" s="131" t="s">
        <v>305</v>
      </c>
      <c r="C9" s="94"/>
      <c r="D9" s="92">
        <v>1</v>
      </c>
      <c r="E9" s="97" t="s">
        <v>19</v>
      </c>
      <c r="F9" s="99">
        <f>IF(D9="pm","pm",D9*C9)</f>
        <v>0</v>
      </c>
    </row>
    <row r="10" spans="1:6" x14ac:dyDescent="0.2">
      <c r="A10" s="100" t="s">
        <v>188</v>
      </c>
      <c r="B10" s="131" t="s">
        <v>159</v>
      </c>
      <c r="C10" s="94"/>
      <c r="D10" s="92">
        <f>ROUNDUP(106.4,-1)</f>
        <v>110</v>
      </c>
      <c r="E10" s="97" t="s">
        <v>21</v>
      </c>
      <c r="F10" s="99">
        <f>IF(D10="pm","pm",D10*C10)</f>
        <v>0</v>
      </c>
    </row>
    <row r="11" spans="1:6" s="91" customFormat="1" x14ac:dyDescent="0.2">
      <c r="A11" s="100" t="s">
        <v>189</v>
      </c>
      <c r="B11" s="131" t="s">
        <v>158</v>
      </c>
      <c r="C11" s="94"/>
      <c r="D11" s="92">
        <v>15</v>
      </c>
      <c r="E11" s="97" t="s">
        <v>20</v>
      </c>
      <c r="F11" s="99">
        <f>IF(D11="pm","pm",D11*C11)</f>
        <v>0</v>
      </c>
    </row>
    <row r="12" spans="1:6" s="91" customFormat="1" x14ac:dyDescent="0.2">
      <c r="A12" s="100" t="s">
        <v>190</v>
      </c>
      <c r="B12" s="131" t="s">
        <v>322</v>
      </c>
      <c r="C12" s="94"/>
      <c r="D12" s="92">
        <v>15</v>
      </c>
      <c r="E12" s="97" t="s">
        <v>20</v>
      </c>
      <c r="F12" s="99">
        <f>IF(D12="pm","pm",D12*C12)</f>
        <v>0</v>
      </c>
    </row>
    <row r="13" spans="1:6" s="91" customFormat="1" ht="12.75" customHeight="1" x14ac:dyDescent="0.2">
      <c r="A13" s="100"/>
      <c r="B13" s="131"/>
      <c r="C13" s="94"/>
      <c r="D13" s="92"/>
      <c r="E13" s="97"/>
      <c r="F13" s="99"/>
    </row>
    <row r="14" spans="1:6" s="91" customFormat="1" ht="12.75" customHeight="1" x14ac:dyDescent="0.2">
      <c r="A14" s="85"/>
      <c r="B14" s="140"/>
      <c r="C14" s="87"/>
      <c r="D14" s="190" t="s">
        <v>26</v>
      </c>
      <c r="E14" s="190"/>
      <c r="F14" s="135">
        <f>SUM(F6:F13)</f>
        <v>0</v>
      </c>
    </row>
    <row r="15" spans="1:6" s="91" customFormat="1" ht="12.75" customHeight="1" x14ac:dyDescent="0.2">
      <c r="A15" s="92"/>
      <c r="B15" s="143" t="s">
        <v>192</v>
      </c>
      <c r="C15" s="94"/>
      <c r="D15" s="144"/>
      <c r="E15" s="145"/>
      <c r="F15" s="96"/>
    </row>
    <row r="16" spans="1:6" ht="12.75" customHeight="1" x14ac:dyDescent="0.2">
      <c r="A16" s="97"/>
      <c r="B16" s="146"/>
      <c r="C16" s="94"/>
      <c r="D16" s="92"/>
      <c r="E16" s="97"/>
      <c r="F16" s="99"/>
    </row>
    <row r="17" spans="1:8" ht="12.75" customHeight="1" x14ac:dyDescent="0.2">
      <c r="A17" s="100" t="s">
        <v>191</v>
      </c>
      <c r="B17" s="147" t="s">
        <v>193</v>
      </c>
      <c r="C17" s="94"/>
      <c r="D17" s="92">
        <v>36</v>
      </c>
      <c r="E17" s="97" t="s">
        <v>21</v>
      </c>
      <c r="F17" s="99">
        <f>IF(D17="pm","pm",D17*C17)</f>
        <v>0</v>
      </c>
    </row>
    <row r="18" spans="1:8" ht="25.5" x14ac:dyDescent="0.2">
      <c r="A18" s="100" t="s">
        <v>321</v>
      </c>
      <c r="B18" s="147" t="s">
        <v>207</v>
      </c>
      <c r="C18" s="94"/>
      <c r="D18" s="92">
        <v>140</v>
      </c>
      <c r="E18" s="97" t="s">
        <v>21</v>
      </c>
      <c r="F18" s="99">
        <f>IF(D18="pm","pm",D18*C18)</f>
        <v>0</v>
      </c>
    </row>
    <row r="19" spans="1:8" ht="12.75" customHeight="1" x14ac:dyDescent="0.2">
      <c r="A19" s="102"/>
      <c r="B19" s="148"/>
      <c r="C19" s="104"/>
      <c r="D19" s="149"/>
      <c r="E19" s="119"/>
      <c r="F19" s="107"/>
    </row>
    <row r="20" spans="1:8" ht="12.75" customHeight="1" x14ac:dyDescent="0.2">
      <c r="A20" s="108"/>
      <c r="B20" s="108"/>
      <c r="D20" s="188" t="s">
        <v>14</v>
      </c>
      <c r="E20" s="189"/>
      <c r="F20" s="109">
        <f>SUM(F15:F19)</f>
        <v>0</v>
      </c>
    </row>
    <row r="23" spans="1:8" s="91" customFormat="1" x14ac:dyDescent="0.2">
      <c r="H23" s="74"/>
    </row>
  </sheetData>
  <dataConsolidate>
    <dataRefs count="1">
      <dataRef ref="A1:F1" r:id="rId1"/>
    </dataRefs>
  </dataConsolidate>
  <mergeCells count="3">
    <mergeCell ref="D5:E5"/>
    <mergeCell ref="D20:E20"/>
    <mergeCell ref="D14:E14"/>
  </mergeCells>
  <phoneticPr fontId="14" type="noConversion"/>
  <printOptions horizontalCentered="1"/>
  <pageMargins left="0.25" right="0.25" top="0.75" bottom="0.75" header="0.3" footer="0.3"/>
  <pageSetup paperSize="9" scale="82" firstPageNumber="2" fitToHeight="0" orientation="portrait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81129-07C2-417F-AC8D-A1CA14210F84}">
  <sheetPr>
    <tabColor rgb="FFFF0000"/>
    <pageSetUpPr fitToPage="1"/>
  </sheetPr>
  <dimension ref="A1:E41"/>
  <sheetViews>
    <sheetView topLeftCell="A6" zoomScaleNormal="100" zoomScaleSheetLayoutView="85" workbookViewId="0">
      <selection activeCell="A32" sqref="A32:A33"/>
    </sheetView>
  </sheetViews>
  <sheetFormatPr baseColWidth="10" defaultColWidth="11.42578125" defaultRowHeight="12.75" customHeight="1" x14ac:dyDescent="0.2"/>
  <cols>
    <col min="1" max="1" width="55.7109375" style="8" customWidth="1"/>
    <col min="2" max="2" width="16.28515625" style="8" customWidth="1"/>
    <col min="3" max="3" width="7.7109375" style="8" customWidth="1"/>
    <col min="4" max="4" width="14.42578125" style="8" customWidth="1"/>
    <col min="5" max="16384" width="11.42578125" style="8"/>
  </cols>
  <sheetData>
    <row r="1" spans="1:4" s="65" customFormat="1" ht="12.75" customHeight="1" x14ac:dyDescent="0.2">
      <c r="A1" s="191" t="s">
        <v>74</v>
      </c>
      <c r="B1" s="191"/>
      <c r="C1" s="191"/>
      <c r="D1" s="192"/>
    </row>
    <row r="2" spans="1:4" s="65" customFormat="1" ht="12.75" customHeight="1" x14ac:dyDescent="0.2">
      <c r="A2" s="138"/>
      <c r="B2" s="138"/>
      <c r="C2" s="138"/>
      <c r="D2" s="66"/>
    </row>
    <row r="3" spans="1:4" ht="12.75" customHeight="1" x14ac:dyDescent="0.2">
      <c r="A3" s="167" t="s">
        <v>75</v>
      </c>
      <c r="B3" s="167"/>
      <c r="C3" s="167"/>
      <c r="D3" s="168"/>
    </row>
    <row r="4" spans="1:4" ht="12.75" customHeight="1" x14ac:dyDescent="0.2">
      <c r="A4" s="137"/>
      <c r="B4" s="137"/>
      <c r="C4" s="137"/>
    </row>
    <row r="5" spans="1:4" ht="12.75" customHeight="1" x14ac:dyDescent="0.2">
      <c r="A5" s="177" t="s">
        <v>310</v>
      </c>
      <c r="B5" s="177"/>
      <c r="C5" s="177"/>
      <c r="D5" s="178"/>
    </row>
    <row r="6" spans="1:4" s="67" customFormat="1" ht="80.099999999999994" customHeight="1" x14ac:dyDescent="0.2">
      <c r="A6" s="4"/>
      <c r="B6" s="4"/>
      <c r="C6" s="5"/>
    </row>
    <row r="7" spans="1:4" s="67" customFormat="1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68"/>
      <c r="B10" s="69"/>
    </row>
    <row r="11" spans="1:4" ht="12.75" customHeight="1" x14ac:dyDescent="0.2">
      <c r="A11" s="137"/>
      <c r="B11" s="137"/>
      <c r="C11" s="137"/>
      <c r="D11" s="65"/>
    </row>
    <row r="12" spans="1:4" s="110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70"/>
      <c r="B13" s="69"/>
    </row>
    <row r="14" spans="1:4" ht="12.75" customHeight="1" x14ac:dyDescent="0.2">
      <c r="A14" s="139"/>
      <c r="B14" s="139"/>
      <c r="C14" s="139"/>
      <c r="D14" s="71"/>
    </row>
    <row r="15" spans="1:4" ht="12.75" customHeight="1" x14ac:dyDescent="0.2">
      <c r="A15" s="173" t="s">
        <v>103</v>
      </c>
      <c r="B15" s="173"/>
      <c r="C15" s="173"/>
      <c r="D15" s="174"/>
    </row>
    <row r="16" spans="1:4" ht="12.75" customHeight="1" x14ac:dyDescent="0.2">
      <c r="B16" s="72"/>
    </row>
    <row r="17" spans="1:5" ht="12.75" customHeight="1" x14ac:dyDescent="0.2">
      <c r="A17" s="8" t="str">
        <f>'ELECTRICITE-VIDEO'!B7</f>
        <v>A - ELECTRICITE</v>
      </c>
      <c r="B17" s="73">
        <f>'ELECTRICITE-VIDEO'!F26</f>
        <v>0</v>
      </c>
    </row>
    <row r="18" spans="1:5" ht="9" customHeight="1" x14ac:dyDescent="0.2">
      <c r="B18" s="73"/>
    </row>
    <row r="19" spans="1:5" ht="12.75" customHeight="1" x14ac:dyDescent="0.2">
      <c r="A19" s="8" t="str">
        <f>'ELECTRICITE-VIDEO'!B27</f>
        <v>B - ECLAIRAGE EXTERIEUR</v>
      </c>
      <c r="B19" s="73">
        <f>'ELECTRICITE-VIDEO'!F36</f>
        <v>0</v>
      </c>
    </row>
    <row r="20" spans="1:5" ht="9" customHeight="1" x14ac:dyDescent="0.2">
      <c r="B20" s="73"/>
    </row>
    <row r="21" spans="1:5" ht="12.75" customHeight="1" x14ac:dyDescent="0.2">
      <c r="A21" s="8" t="str">
        <f>'ELECTRICITE-VIDEO'!B37</f>
        <v>C - CONTRÔLE DE CONFORMITE</v>
      </c>
      <c r="B21" s="73">
        <f>'ELECTRICITE-VIDEO'!F41</f>
        <v>0</v>
      </c>
    </row>
    <row r="22" spans="1:5" ht="9" customHeight="1" x14ac:dyDescent="0.2">
      <c r="B22" s="73"/>
    </row>
    <row r="23" spans="1:5" ht="12.75" customHeight="1" x14ac:dyDescent="0.2">
      <c r="A23" s="8" t="str">
        <f>'ELECTRICITE-VIDEO'!B42</f>
        <v>D - VIDEOSURVEILLANCE</v>
      </c>
      <c r="B23" s="73">
        <f>'ELECTRICITE-VIDEO'!F47</f>
        <v>0</v>
      </c>
    </row>
    <row r="24" spans="1:5" ht="9" customHeight="1" thickBot="1" x14ac:dyDescent="0.25">
      <c r="B24" s="162"/>
    </row>
    <row r="25" spans="1:5" ht="9" customHeight="1" x14ac:dyDescent="0.2">
      <c r="B25" s="163"/>
    </row>
    <row r="26" spans="1:5" ht="12.75" customHeight="1" x14ac:dyDescent="0.2">
      <c r="A26" s="16" t="s">
        <v>5</v>
      </c>
      <c r="B26" s="164">
        <f>SUM(B17:B25)</f>
        <v>0</v>
      </c>
    </row>
    <row r="27" spans="1:5" ht="9" customHeight="1" x14ac:dyDescent="0.2">
      <c r="A27" s="74"/>
      <c r="B27" s="73"/>
      <c r="E27" s="75"/>
    </row>
    <row r="28" spans="1:5" ht="12.75" customHeight="1" x14ac:dyDescent="0.2">
      <c r="A28" s="76" t="s">
        <v>16</v>
      </c>
      <c r="B28" s="165">
        <f>ROUND(B26*0.2,2)</f>
        <v>0</v>
      </c>
    </row>
    <row r="29" spans="1:5" ht="9" customHeight="1" x14ac:dyDescent="0.2">
      <c r="B29" s="73"/>
    </row>
    <row r="30" spans="1:5" ht="12.75" customHeight="1" x14ac:dyDescent="0.2">
      <c r="A30" s="16" t="s">
        <v>6</v>
      </c>
      <c r="B30" s="164">
        <f>SUM(B26:B28)</f>
        <v>0</v>
      </c>
    </row>
    <row r="31" spans="1:5" ht="12.75" customHeight="1" x14ac:dyDescent="0.2">
      <c r="B31" s="73"/>
    </row>
    <row r="33" spans="1:5" ht="12.75" customHeight="1" x14ac:dyDescent="0.2">
      <c r="A33" s="77"/>
    </row>
    <row r="36" spans="1:5" ht="27.95" customHeight="1" x14ac:dyDescent="0.2">
      <c r="A36" s="166" t="s">
        <v>11</v>
      </c>
      <c r="B36" s="166"/>
      <c r="C36" s="166"/>
      <c r="D36" s="166"/>
      <c r="E36" s="1" t="s">
        <v>12</v>
      </c>
    </row>
    <row r="38" spans="1:5" ht="12.75" customHeight="1" x14ac:dyDescent="0.2">
      <c r="B38" s="8" t="s">
        <v>7</v>
      </c>
    </row>
    <row r="39" spans="1:5" ht="12.75" customHeight="1" x14ac:dyDescent="0.2">
      <c r="B39" s="8" t="s">
        <v>8</v>
      </c>
    </row>
    <row r="40" spans="1:5" ht="12.75" customHeight="1" x14ac:dyDescent="0.2">
      <c r="B40" s="8" t="s">
        <v>9</v>
      </c>
    </row>
    <row r="41" spans="1:5" ht="12.75" customHeight="1" x14ac:dyDescent="0.2">
      <c r="B41" s="77" t="s">
        <v>10</v>
      </c>
    </row>
  </sheetData>
  <mergeCells count="9">
    <mergeCell ref="A7:D7"/>
    <mergeCell ref="A1:D1"/>
    <mergeCell ref="A3:D3"/>
    <mergeCell ref="A5:D5"/>
    <mergeCell ref="A36:D36"/>
    <mergeCell ref="A8:D8"/>
    <mergeCell ref="A9:D9"/>
    <mergeCell ref="A12:D12"/>
    <mergeCell ref="A15:D1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6A2E-4B7E-473A-9A8F-C2C0C223B4D6}">
  <sheetPr>
    <tabColor rgb="FFFF0000"/>
    <pageSetUpPr fitToPage="1"/>
  </sheetPr>
  <dimension ref="A1:F47"/>
  <sheetViews>
    <sheetView showZeros="0" zoomScaleNormal="100" zoomScaleSheetLayoutView="100" workbookViewId="0">
      <selection activeCell="H44" sqref="H44"/>
    </sheetView>
  </sheetViews>
  <sheetFormatPr baseColWidth="10" defaultColWidth="11.42578125" defaultRowHeight="12.75" customHeight="1" x14ac:dyDescent="0.2"/>
  <cols>
    <col min="1" max="1" width="8.7109375" style="8" customWidth="1"/>
    <col min="2" max="2" width="65.7109375" style="8" customWidth="1"/>
    <col min="3" max="3" width="12.7109375" style="108" customWidth="1"/>
    <col min="4" max="4" width="10.7109375" style="8" customWidth="1"/>
    <col min="5" max="5" width="8.7109375" style="8" customWidth="1"/>
    <col min="6" max="6" width="15.7109375" style="108" customWidth="1"/>
    <col min="7" max="16384" width="11.42578125" style="8"/>
  </cols>
  <sheetData>
    <row r="1" spans="1:6" s="78" customFormat="1" ht="12.75" customHeight="1" x14ac:dyDescent="0.2">
      <c r="C1" s="17"/>
      <c r="E1" s="79"/>
      <c r="F1" s="80"/>
    </row>
    <row r="2" spans="1:6" s="78" customFormat="1" ht="12.75" customHeight="1" x14ac:dyDescent="0.2">
      <c r="A2" s="9" t="s">
        <v>79</v>
      </c>
      <c r="C2" s="17"/>
      <c r="E2" s="79"/>
      <c r="F2" s="80"/>
    </row>
    <row r="3" spans="1:6" s="78" customFormat="1" ht="12.75" customHeight="1" x14ac:dyDescent="0.2">
      <c r="A3" s="10" t="s">
        <v>119</v>
      </c>
      <c r="B3" s="81"/>
      <c r="D3" s="16"/>
      <c r="E3" s="17"/>
      <c r="F3" s="17"/>
    </row>
    <row r="4" spans="1:6" s="78" customFormat="1" ht="12.75" customHeight="1" x14ac:dyDescent="0.2">
      <c r="A4" s="10"/>
      <c r="B4" s="81"/>
      <c r="D4" s="16"/>
      <c r="E4" s="17"/>
      <c r="F4" s="17"/>
    </row>
    <row r="5" spans="1:6" s="84" customFormat="1" ht="12.75" customHeight="1" x14ac:dyDescent="0.2">
      <c r="A5" s="82" t="s">
        <v>1</v>
      </c>
      <c r="B5" s="82" t="s">
        <v>2</v>
      </c>
      <c r="C5" s="83" t="s">
        <v>0</v>
      </c>
      <c r="D5" s="186" t="s">
        <v>3</v>
      </c>
      <c r="E5" s="187"/>
      <c r="F5" s="83" t="s">
        <v>4</v>
      </c>
    </row>
    <row r="6" spans="1:6" s="91" customFormat="1" ht="12.75" customHeight="1" x14ac:dyDescent="0.2">
      <c r="A6" s="85"/>
      <c r="B6" s="86"/>
      <c r="C6" s="87"/>
      <c r="D6" s="88"/>
      <c r="E6" s="89"/>
      <c r="F6" s="99">
        <f t="shared" ref="F6:F24" si="0">IF(D6="pm","pm",D6*C6)</f>
        <v>0</v>
      </c>
    </row>
    <row r="7" spans="1:6" s="112" customFormat="1" ht="12.75" customHeight="1" x14ac:dyDescent="0.2">
      <c r="A7" s="92"/>
      <c r="B7" s="93" t="s">
        <v>35</v>
      </c>
      <c r="C7" s="94"/>
      <c r="D7" s="115"/>
      <c r="E7" s="91"/>
      <c r="F7" s="99">
        <f t="shared" si="0"/>
        <v>0</v>
      </c>
    </row>
    <row r="8" spans="1:6" s="112" customFormat="1" ht="12.75" customHeight="1" x14ac:dyDescent="0.2">
      <c r="A8" s="92"/>
      <c r="B8" s="98"/>
      <c r="C8" s="94"/>
      <c r="D8" s="116"/>
      <c r="E8" s="91"/>
      <c r="F8" s="99">
        <f t="shared" si="0"/>
        <v>0</v>
      </c>
    </row>
    <row r="9" spans="1:6" s="112" customFormat="1" ht="12.75" customHeight="1" x14ac:dyDescent="0.2">
      <c r="A9" s="117" t="s">
        <v>149</v>
      </c>
      <c r="B9" s="118" t="s">
        <v>31</v>
      </c>
      <c r="C9" s="94"/>
      <c r="D9" s="74">
        <v>1</v>
      </c>
      <c r="E9" s="8" t="s">
        <v>19</v>
      </c>
      <c r="F9" s="99">
        <f t="shared" si="0"/>
        <v>0</v>
      </c>
    </row>
    <row r="10" spans="1:6" s="112" customFormat="1" ht="12.75" customHeight="1" x14ac:dyDescent="0.2">
      <c r="A10" s="117" t="s">
        <v>150</v>
      </c>
      <c r="B10" s="118" t="s">
        <v>320</v>
      </c>
      <c r="C10" s="94"/>
      <c r="D10" s="74">
        <f>ROUNDUP(5.8,-1)</f>
        <v>10</v>
      </c>
      <c r="E10" s="8" t="s">
        <v>20</v>
      </c>
      <c r="F10" s="99">
        <f t="shared" si="0"/>
        <v>0</v>
      </c>
    </row>
    <row r="11" spans="1:6" s="112" customFormat="1" ht="12.75" customHeight="1" x14ac:dyDescent="0.2">
      <c r="A11" s="117" t="s">
        <v>151</v>
      </c>
      <c r="B11" s="118" t="s">
        <v>160</v>
      </c>
      <c r="C11" s="94"/>
      <c r="D11" s="74">
        <f>ROUNDUP(15.1,-1)</f>
        <v>20</v>
      </c>
      <c r="E11" s="8" t="s">
        <v>20</v>
      </c>
      <c r="F11" s="99">
        <f>IF(D11="pm","pm",D11*C11)</f>
        <v>0</v>
      </c>
    </row>
    <row r="12" spans="1:6" s="112" customFormat="1" ht="12.75" customHeight="1" x14ac:dyDescent="0.2">
      <c r="A12" s="117" t="s">
        <v>152</v>
      </c>
      <c r="B12" s="118" t="s">
        <v>161</v>
      </c>
      <c r="C12" s="94"/>
      <c r="D12" s="74">
        <f>ROUNDUP(24.5,-1)</f>
        <v>30</v>
      </c>
      <c r="E12" s="8" t="s">
        <v>20</v>
      </c>
      <c r="F12" s="99">
        <f>IF(D12="pm","pm",D12*C12)</f>
        <v>0</v>
      </c>
    </row>
    <row r="13" spans="1:6" s="112" customFormat="1" ht="12.75" customHeight="1" x14ac:dyDescent="0.2">
      <c r="A13" s="117" t="s">
        <v>153</v>
      </c>
      <c r="B13" s="118" t="s">
        <v>170</v>
      </c>
      <c r="C13" s="94"/>
      <c r="D13" s="74">
        <f>ROUNDUP(15.04,-1)</f>
        <v>20</v>
      </c>
      <c r="E13" s="8" t="s">
        <v>20</v>
      </c>
      <c r="F13" s="99">
        <f>IF(D13="pm","pm",D13*C13)</f>
        <v>0</v>
      </c>
    </row>
    <row r="14" spans="1:6" s="112" customFormat="1" ht="12.75" customHeight="1" x14ac:dyDescent="0.2">
      <c r="A14" s="117" t="s">
        <v>154</v>
      </c>
      <c r="B14" s="118" t="s">
        <v>162</v>
      </c>
      <c r="C14" s="94"/>
      <c r="D14" s="74">
        <f>ROUNDUP(30.4,-1)</f>
        <v>40</v>
      </c>
      <c r="E14" s="8" t="s">
        <v>20</v>
      </c>
      <c r="F14" s="99">
        <f t="shared" ref="F14" si="1">IF(D14="pm","pm",D14*C14)</f>
        <v>0</v>
      </c>
    </row>
    <row r="15" spans="1:6" s="112" customFormat="1" ht="12.75" customHeight="1" x14ac:dyDescent="0.2">
      <c r="A15" s="117" t="s">
        <v>173</v>
      </c>
      <c r="B15" s="118" t="s">
        <v>163</v>
      </c>
      <c r="C15" s="94"/>
      <c r="D15" s="74">
        <f>ROUNDUP(28.9,-1)</f>
        <v>30</v>
      </c>
      <c r="E15" s="8" t="s">
        <v>20</v>
      </c>
      <c r="F15" s="99">
        <f t="shared" ref="F15" si="2">IF(D15="pm","pm",D15*C15)</f>
        <v>0</v>
      </c>
    </row>
    <row r="16" spans="1:6" s="112" customFormat="1" x14ac:dyDescent="0.2">
      <c r="A16" s="117" t="s">
        <v>174</v>
      </c>
      <c r="B16" s="118" t="s">
        <v>164</v>
      </c>
      <c r="C16" s="94"/>
      <c r="D16" s="74">
        <f>ROUNDUP(105.6,-1)</f>
        <v>110</v>
      </c>
      <c r="E16" s="8" t="s">
        <v>20</v>
      </c>
      <c r="F16" s="99">
        <f t="shared" si="0"/>
        <v>0</v>
      </c>
    </row>
    <row r="17" spans="1:6" s="112" customFormat="1" ht="12.75" customHeight="1" x14ac:dyDescent="0.2">
      <c r="A17" s="117" t="s">
        <v>175</v>
      </c>
      <c r="B17" s="118" t="s">
        <v>165</v>
      </c>
      <c r="C17" s="94"/>
      <c r="D17" s="74">
        <f>ROUNDUP(80.4,-1)</f>
        <v>90</v>
      </c>
      <c r="E17" s="8" t="s">
        <v>20</v>
      </c>
      <c r="F17" s="99">
        <f>IF(D17="pm","pm",D17*C17)</f>
        <v>0</v>
      </c>
    </row>
    <row r="18" spans="1:6" s="112" customFormat="1" ht="12.75" customHeight="1" x14ac:dyDescent="0.2">
      <c r="A18" s="117" t="s">
        <v>176</v>
      </c>
      <c r="B18" s="118" t="s">
        <v>166</v>
      </c>
      <c r="C18" s="94"/>
      <c r="D18" s="74">
        <v>1</v>
      </c>
      <c r="E18" s="8" t="s">
        <v>23</v>
      </c>
      <c r="F18" s="99">
        <f t="shared" si="0"/>
        <v>0</v>
      </c>
    </row>
    <row r="19" spans="1:6" s="112" customFormat="1" ht="12.75" customHeight="1" x14ac:dyDescent="0.2">
      <c r="A19" s="117" t="s">
        <v>177</v>
      </c>
      <c r="B19" s="118" t="s">
        <v>167</v>
      </c>
      <c r="C19" s="94"/>
      <c r="D19" s="74">
        <v>1</v>
      </c>
      <c r="E19" s="8" t="s">
        <v>23</v>
      </c>
      <c r="F19" s="99">
        <f t="shared" ref="F19" si="3">IF(D19="pm","pm",D19*C19)</f>
        <v>0</v>
      </c>
    </row>
    <row r="20" spans="1:6" s="112" customFormat="1" ht="12.75" customHeight="1" x14ac:dyDescent="0.2">
      <c r="A20" s="117" t="s">
        <v>178</v>
      </c>
      <c r="B20" s="118" t="s">
        <v>168</v>
      </c>
      <c r="C20" s="94"/>
      <c r="D20" s="74">
        <v>1</v>
      </c>
      <c r="E20" s="8" t="s">
        <v>23</v>
      </c>
      <c r="F20" s="99">
        <f t="shared" ref="F20" si="4">IF(D20="pm","pm",D20*C20)</f>
        <v>0</v>
      </c>
    </row>
    <row r="21" spans="1:6" s="112" customFormat="1" ht="12.75" customHeight="1" x14ac:dyDescent="0.2">
      <c r="A21" s="117" t="s">
        <v>179</v>
      </c>
      <c r="B21" s="118" t="s">
        <v>169</v>
      </c>
      <c r="C21" s="94"/>
      <c r="D21" s="74">
        <v>1</v>
      </c>
      <c r="E21" s="8" t="s">
        <v>23</v>
      </c>
      <c r="F21" s="99">
        <f t="shared" ref="F21" si="5">IF(D21="pm","pm",D21*C21)</f>
        <v>0</v>
      </c>
    </row>
    <row r="22" spans="1:6" s="112" customFormat="1" ht="12.75" customHeight="1" x14ac:dyDescent="0.2">
      <c r="A22" s="117" t="s">
        <v>180</v>
      </c>
      <c r="B22" s="118" t="s">
        <v>171</v>
      </c>
      <c r="C22" s="94"/>
      <c r="D22" s="74">
        <v>1</v>
      </c>
      <c r="E22" s="8" t="s">
        <v>23</v>
      </c>
      <c r="F22" s="99">
        <f t="shared" ref="F22" si="6">IF(D22="pm","pm",D22*C22)</f>
        <v>0</v>
      </c>
    </row>
    <row r="23" spans="1:6" s="112" customFormat="1" ht="12.75" customHeight="1" x14ac:dyDescent="0.2">
      <c r="A23" s="117" t="s">
        <v>181</v>
      </c>
      <c r="B23" s="118" t="s">
        <v>172</v>
      </c>
      <c r="C23" s="94"/>
      <c r="D23" s="74">
        <v>1</v>
      </c>
      <c r="E23" s="8" t="s">
        <v>23</v>
      </c>
      <c r="F23" s="99">
        <f t="shared" ref="F23" si="7">IF(D23="pm","pm",D23*C23)</f>
        <v>0</v>
      </c>
    </row>
    <row r="24" spans="1:6" s="112" customFormat="1" ht="12.75" customHeight="1" x14ac:dyDescent="0.2">
      <c r="A24" s="117" t="s">
        <v>155</v>
      </c>
      <c r="B24" s="118" t="s">
        <v>156</v>
      </c>
      <c r="C24" s="94"/>
      <c r="D24" s="74">
        <v>1</v>
      </c>
      <c r="E24" s="8" t="s">
        <v>19</v>
      </c>
      <c r="F24" s="99">
        <f t="shared" si="0"/>
        <v>0</v>
      </c>
    </row>
    <row r="25" spans="1:6" s="112" customFormat="1" ht="12.75" customHeight="1" x14ac:dyDescent="0.2">
      <c r="A25" s="128"/>
      <c r="B25" s="134"/>
      <c r="C25" s="94"/>
      <c r="D25" s="105"/>
      <c r="E25" s="106"/>
      <c r="F25" s="99">
        <f>IF(D25="pm","pm",D25*C25)</f>
        <v>0</v>
      </c>
    </row>
    <row r="26" spans="1:6" s="112" customFormat="1" ht="12.75" customHeight="1" x14ac:dyDescent="0.2">
      <c r="A26" s="85"/>
      <c r="B26" s="86"/>
      <c r="C26" s="87"/>
      <c r="D26" s="193" t="s">
        <v>26</v>
      </c>
      <c r="E26" s="194"/>
      <c r="F26" s="135">
        <f>SUM(F6:F25)</f>
        <v>0</v>
      </c>
    </row>
    <row r="27" spans="1:6" ht="12.75" customHeight="1" x14ac:dyDescent="0.2">
      <c r="A27" s="92"/>
      <c r="B27" s="93" t="s">
        <v>36</v>
      </c>
      <c r="C27" s="94"/>
      <c r="D27" s="115"/>
      <c r="E27" s="91"/>
      <c r="F27" s="99"/>
    </row>
    <row r="28" spans="1:6" ht="12.75" customHeight="1" x14ac:dyDescent="0.2">
      <c r="A28" s="92"/>
      <c r="B28" s="98"/>
      <c r="C28" s="94"/>
      <c r="D28" s="116"/>
      <c r="E28" s="91"/>
      <c r="F28" s="99"/>
    </row>
    <row r="29" spans="1:6" ht="12.75" customHeight="1" x14ac:dyDescent="0.2">
      <c r="A29" s="117" t="s">
        <v>318</v>
      </c>
      <c r="B29" s="118" t="s">
        <v>96</v>
      </c>
      <c r="C29" s="94"/>
      <c r="D29" s="74">
        <v>1</v>
      </c>
      <c r="E29" s="8" t="s">
        <v>19</v>
      </c>
      <c r="F29" s="99">
        <f t="shared" ref="F29:F34" si="8">IF(D29="pm","pm",D29*C29)</f>
        <v>0</v>
      </c>
    </row>
    <row r="30" spans="1:6" ht="12.75" customHeight="1" x14ac:dyDescent="0.2">
      <c r="A30" s="117" t="s">
        <v>182</v>
      </c>
      <c r="B30" s="118" t="s">
        <v>32</v>
      </c>
      <c r="C30" s="94"/>
      <c r="D30" s="74">
        <v>2</v>
      </c>
      <c r="E30" s="8" t="s">
        <v>23</v>
      </c>
      <c r="F30" s="99">
        <f t="shared" si="8"/>
        <v>0</v>
      </c>
    </row>
    <row r="31" spans="1:6" ht="12.75" customHeight="1" x14ac:dyDescent="0.2">
      <c r="A31" s="117" t="s">
        <v>183</v>
      </c>
      <c r="B31" s="118" t="s">
        <v>85</v>
      </c>
      <c r="C31" s="94"/>
      <c r="D31" s="74">
        <f>ROUNDUP(66.6,-2)</f>
        <v>100</v>
      </c>
      <c r="E31" s="8" t="s">
        <v>20</v>
      </c>
      <c r="F31" s="99">
        <f t="shared" si="8"/>
        <v>0</v>
      </c>
    </row>
    <row r="32" spans="1:6" ht="12.75" customHeight="1" x14ac:dyDescent="0.2">
      <c r="A32" s="117" t="s">
        <v>184</v>
      </c>
      <c r="B32" s="118" t="s">
        <v>33</v>
      </c>
      <c r="C32" s="94"/>
      <c r="D32" s="74">
        <v>1</v>
      </c>
      <c r="E32" s="8" t="s">
        <v>23</v>
      </c>
      <c r="F32" s="99">
        <f t="shared" si="8"/>
        <v>0</v>
      </c>
    </row>
    <row r="33" spans="1:6" ht="12.75" customHeight="1" x14ac:dyDescent="0.2">
      <c r="A33" s="117" t="s">
        <v>185</v>
      </c>
      <c r="B33" s="118" t="s">
        <v>37</v>
      </c>
      <c r="C33" s="94"/>
      <c r="D33" s="74">
        <v>2</v>
      </c>
      <c r="E33" s="8" t="s">
        <v>23</v>
      </c>
      <c r="F33" s="99">
        <f t="shared" si="8"/>
        <v>0</v>
      </c>
    </row>
    <row r="34" spans="1:6" ht="12.75" customHeight="1" x14ac:dyDescent="0.2">
      <c r="A34" s="117" t="s">
        <v>186</v>
      </c>
      <c r="B34" s="118" t="s">
        <v>38</v>
      </c>
      <c r="C34" s="94"/>
      <c r="D34" s="74">
        <v>1</v>
      </c>
      <c r="E34" s="8" t="s">
        <v>23</v>
      </c>
      <c r="F34" s="99">
        <f t="shared" si="8"/>
        <v>0</v>
      </c>
    </row>
    <row r="35" spans="1:6" x14ac:dyDescent="0.2">
      <c r="A35" s="128"/>
      <c r="B35" s="134"/>
      <c r="C35" s="94"/>
      <c r="D35" s="105"/>
      <c r="E35" s="106"/>
      <c r="F35" s="99">
        <f>IF(D35="pm","pm",D35*C35)</f>
        <v>0</v>
      </c>
    </row>
    <row r="36" spans="1:6" ht="12.75" customHeight="1" x14ac:dyDescent="0.2">
      <c r="A36" s="85"/>
      <c r="B36" s="86"/>
      <c r="C36" s="87"/>
      <c r="D36" s="193" t="s">
        <v>14</v>
      </c>
      <c r="E36" s="194"/>
      <c r="F36" s="135">
        <f>SUM(F27:F35)</f>
        <v>0</v>
      </c>
    </row>
    <row r="37" spans="1:6" ht="12.75" customHeight="1" x14ac:dyDescent="0.2">
      <c r="A37" s="92"/>
      <c r="B37" s="93" t="s">
        <v>306</v>
      </c>
      <c r="C37" s="94"/>
      <c r="D37" s="115"/>
      <c r="E37" s="91"/>
      <c r="F37" s="99"/>
    </row>
    <row r="38" spans="1:6" ht="12.75" customHeight="1" x14ac:dyDescent="0.2">
      <c r="A38" s="92"/>
      <c r="B38" s="98"/>
      <c r="C38" s="94"/>
      <c r="D38" s="116"/>
      <c r="E38" s="91"/>
      <c r="F38" s="99"/>
    </row>
    <row r="39" spans="1:6" ht="12.75" customHeight="1" x14ac:dyDescent="0.2">
      <c r="A39" s="117" t="s">
        <v>319</v>
      </c>
      <c r="B39" s="118" t="s">
        <v>304</v>
      </c>
      <c r="C39" s="94"/>
      <c r="D39" s="74">
        <v>1</v>
      </c>
      <c r="E39" s="8" t="s">
        <v>23</v>
      </c>
      <c r="F39" s="99">
        <f t="shared" ref="F39" si="9">IF(D39="pm","pm",D39*C39)</f>
        <v>0</v>
      </c>
    </row>
    <row r="40" spans="1:6" ht="12.75" customHeight="1" x14ac:dyDescent="0.2">
      <c r="A40" s="128"/>
      <c r="B40" s="134"/>
      <c r="C40" s="94"/>
      <c r="D40" s="105"/>
      <c r="E40" s="106"/>
      <c r="F40" s="99"/>
    </row>
    <row r="41" spans="1:6" ht="12.75" customHeight="1" x14ac:dyDescent="0.2">
      <c r="A41" s="85"/>
      <c r="B41" s="86"/>
      <c r="C41" s="87"/>
      <c r="D41" s="193" t="s">
        <v>15</v>
      </c>
      <c r="E41" s="194"/>
      <c r="F41" s="135">
        <f>SUM(F37:F40)</f>
        <v>0</v>
      </c>
    </row>
    <row r="42" spans="1:6" ht="12.75" customHeight="1" x14ac:dyDescent="0.2">
      <c r="A42" s="92"/>
      <c r="B42" s="93" t="s">
        <v>340</v>
      </c>
      <c r="C42" s="94"/>
      <c r="D42" s="115"/>
      <c r="E42" s="91"/>
      <c r="F42" s="99"/>
    </row>
    <row r="43" spans="1:6" ht="12.75" customHeight="1" x14ac:dyDescent="0.2">
      <c r="A43" s="92"/>
      <c r="B43" s="98"/>
      <c r="C43" s="94"/>
      <c r="D43" s="116"/>
      <c r="E43" s="91"/>
      <c r="F43" s="99"/>
    </row>
    <row r="44" spans="1:6" ht="12.75" customHeight="1" x14ac:dyDescent="0.2">
      <c r="A44" s="117" t="s">
        <v>342</v>
      </c>
      <c r="B44" s="118" t="s">
        <v>344</v>
      </c>
      <c r="C44" s="94"/>
      <c r="D44" s="74" t="s">
        <v>341</v>
      </c>
      <c r="E44" s="8" t="s">
        <v>19</v>
      </c>
      <c r="F44" s="99" t="str">
        <f t="shared" ref="F44" si="10">IF(D44="pm","pm",D44*C44)</f>
        <v>pm</v>
      </c>
    </row>
    <row r="45" spans="1:6" ht="12.75" customHeight="1" x14ac:dyDescent="0.2">
      <c r="A45" s="117" t="s">
        <v>343</v>
      </c>
      <c r="B45" s="118" t="s">
        <v>345</v>
      </c>
      <c r="C45" s="94"/>
      <c r="D45" s="74" t="s">
        <v>341</v>
      </c>
      <c r="E45" s="8" t="s">
        <v>20</v>
      </c>
      <c r="F45" s="99" t="str">
        <f t="shared" ref="F45" si="11">IF(D45="pm","pm",D45*C45)</f>
        <v>pm</v>
      </c>
    </row>
    <row r="46" spans="1:6" ht="12.75" customHeight="1" x14ac:dyDescent="0.2">
      <c r="A46" s="128"/>
      <c r="B46" s="134"/>
      <c r="C46" s="94"/>
      <c r="D46" s="105"/>
      <c r="E46" s="106"/>
      <c r="F46" s="99"/>
    </row>
    <row r="47" spans="1:6" ht="12.75" customHeight="1" x14ac:dyDescent="0.2">
      <c r="C47" s="136"/>
      <c r="D47" s="193" t="s">
        <v>24</v>
      </c>
      <c r="E47" s="194"/>
      <c r="F47" s="135">
        <f>SUM(F42:F46)</f>
        <v>0</v>
      </c>
    </row>
  </sheetData>
  <dataConsolidate>
    <dataRefs count="1">
      <dataRef ref="A1:F1" r:id="rId1"/>
    </dataRefs>
  </dataConsolidate>
  <mergeCells count="5">
    <mergeCell ref="D36:E36"/>
    <mergeCell ref="D26:E26"/>
    <mergeCell ref="D41:E41"/>
    <mergeCell ref="D5:E5"/>
    <mergeCell ref="D47:E47"/>
  </mergeCells>
  <phoneticPr fontId="14" type="noConversion"/>
  <printOptions horizontalCentered="1"/>
  <pageMargins left="0.25" right="0.25" top="0.75" bottom="0.75" header="0.3" footer="0.3"/>
  <pageSetup paperSize="9" scale="82" firstPageNumber="2" fitToHeight="0" orientation="portrait" useFirstPageNumber="1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E30BC-4977-41FF-BA77-D299791E592E}">
  <sheetPr>
    <tabColor rgb="FF92D050"/>
    <pageSetUpPr fitToPage="1"/>
  </sheetPr>
  <dimension ref="A1:E43"/>
  <sheetViews>
    <sheetView topLeftCell="A7" zoomScaleNormal="100" zoomScaleSheetLayoutView="85" workbookViewId="0">
      <selection activeCell="A34" sqref="A34:A35"/>
    </sheetView>
  </sheetViews>
  <sheetFormatPr baseColWidth="10" defaultColWidth="11.42578125" defaultRowHeight="12.75" customHeight="1" x14ac:dyDescent="0.2"/>
  <cols>
    <col min="1" max="1" width="55.7109375" style="8" customWidth="1"/>
    <col min="2" max="2" width="16.28515625" style="8" customWidth="1"/>
    <col min="3" max="3" width="7.7109375" style="8" customWidth="1"/>
    <col min="4" max="4" width="14.42578125" style="8" customWidth="1"/>
    <col min="5" max="16384" width="11.42578125" style="8"/>
  </cols>
  <sheetData>
    <row r="1" spans="1:4" ht="12.75" customHeight="1" x14ac:dyDescent="0.2">
      <c r="A1" s="175" t="s">
        <v>74</v>
      </c>
      <c r="B1" s="175"/>
      <c r="C1" s="175"/>
      <c r="D1" s="168"/>
    </row>
    <row r="2" spans="1:4" ht="12.75" customHeight="1" x14ac:dyDescent="0.2">
      <c r="A2" s="77"/>
      <c r="B2" s="77"/>
      <c r="C2" s="77"/>
    </row>
    <row r="3" spans="1:4" ht="12.75" customHeight="1" x14ac:dyDescent="0.2">
      <c r="A3" s="167" t="s">
        <v>75</v>
      </c>
      <c r="B3" s="167"/>
      <c r="C3" s="167"/>
      <c r="D3" s="168"/>
    </row>
    <row r="4" spans="1:4" ht="12.75" customHeight="1" x14ac:dyDescent="0.2">
      <c r="A4" s="167"/>
      <c r="B4" s="167"/>
      <c r="C4" s="167"/>
    </row>
    <row r="5" spans="1:4" ht="12.75" customHeight="1" x14ac:dyDescent="0.2">
      <c r="A5" s="177" t="s">
        <v>310</v>
      </c>
      <c r="B5" s="177"/>
      <c r="C5" s="177"/>
      <c r="D5" s="178"/>
    </row>
    <row r="6" spans="1:4" ht="80.099999999999994" customHeight="1" x14ac:dyDescent="0.2">
      <c r="A6" s="113"/>
      <c r="B6" s="113"/>
      <c r="C6" s="111"/>
    </row>
    <row r="7" spans="1:4" ht="12.75" customHeight="1" x14ac:dyDescent="0.2">
      <c r="A7" s="167" t="s">
        <v>78</v>
      </c>
      <c r="B7" s="167"/>
      <c r="C7" s="167"/>
      <c r="D7" s="168"/>
    </row>
    <row r="8" spans="1:4" ht="12.75" customHeight="1" x14ac:dyDescent="0.2">
      <c r="A8" s="167" t="s">
        <v>76</v>
      </c>
      <c r="B8" s="167"/>
      <c r="C8" s="167"/>
      <c r="D8" s="168"/>
    </row>
    <row r="9" spans="1:4" ht="12.75" customHeight="1" x14ac:dyDescent="0.2">
      <c r="A9" s="167" t="s">
        <v>77</v>
      </c>
      <c r="B9" s="167"/>
      <c r="C9" s="167"/>
      <c r="D9" s="168"/>
    </row>
    <row r="10" spans="1:4" ht="12.75" customHeight="1" x14ac:dyDescent="0.2">
      <c r="A10" s="111"/>
      <c r="B10" s="69"/>
    </row>
    <row r="11" spans="1:4" ht="12.75" customHeight="1" x14ac:dyDescent="0.2">
      <c r="A11" s="167"/>
      <c r="B11" s="167"/>
      <c r="C11" s="167"/>
      <c r="D11" s="168"/>
    </row>
    <row r="12" spans="1:4" s="112" customFormat="1" ht="39.950000000000003" customHeight="1" x14ac:dyDescent="0.2">
      <c r="A12" s="169" t="s">
        <v>312</v>
      </c>
      <c r="B12" s="169"/>
      <c r="C12" s="169"/>
      <c r="D12" s="170"/>
    </row>
    <row r="13" spans="1:4" ht="12.75" customHeight="1" x14ac:dyDescent="0.2">
      <c r="A13" s="111"/>
      <c r="B13" s="69"/>
    </row>
    <row r="14" spans="1:4" ht="12.75" customHeight="1" x14ac:dyDescent="0.2">
      <c r="A14" s="133"/>
      <c r="B14" s="133"/>
      <c r="C14" s="133"/>
      <c r="D14" s="1"/>
    </row>
    <row r="15" spans="1:4" ht="12.75" customHeight="1" x14ac:dyDescent="0.2">
      <c r="A15" s="173" t="s">
        <v>104</v>
      </c>
      <c r="B15" s="173"/>
      <c r="C15" s="173"/>
      <c r="D15" s="174"/>
    </row>
    <row r="16" spans="1:4" ht="12.75" customHeight="1" x14ac:dyDescent="0.2">
      <c r="B16" s="73"/>
    </row>
    <row r="17" spans="1:5" ht="12.75" customHeight="1" x14ac:dyDescent="0.2">
      <c r="A17" s="8" t="str">
        <f>'CLOTURE-SERRURERIE'!B7</f>
        <v>A - CLÔTURES</v>
      </c>
      <c r="B17" s="73">
        <f>'CLOTURE-SERRURERIE'!F13</f>
        <v>0</v>
      </c>
    </row>
    <row r="18" spans="1:5" ht="9" customHeight="1" x14ac:dyDescent="0.2">
      <c r="B18" s="73"/>
    </row>
    <row r="19" spans="1:5" ht="12.75" customHeight="1" x14ac:dyDescent="0.2">
      <c r="A19" s="8" t="str">
        <f>'CLOTURE-SERRURERIE'!B14</f>
        <v>B - PORTAILS</v>
      </c>
      <c r="B19" s="73">
        <f>'CLOTURE-SERRURERIE'!F20</f>
        <v>0</v>
      </c>
    </row>
    <row r="20" spans="1:5" ht="9" customHeight="1" x14ac:dyDescent="0.2">
      <c r="B20" s="73"/>
    </row>
    <row r="21" spans="1:5" ht="12.75" customHeight="1" x14ac:dyDescent="0.2">
      <c r="A21" s="8" t="str">
        <f>'CLOTURE-SERRURERIE'!B21</f>
        <v>C - PANNEAUX DE SIGNALISATION</v>
      </c>
      <c r="B21" s="73">
        <f>'CLOTURE-SERRURERIE'!F36</f>
        <v>0</v>
      </c>
    </row>
    <row r="22" spans="1:5" ht="9" customHeight="1" x14ac:dyDescent="0.2">
      <c r="B22" s="73"/>
    </row>
    <row r="23" spans="1:5" ht="12.75" customHeight="1" x14ac:dyDescent="0.2">
      <c r="A23" s="8" t="str">
        <f>'CLOTURE-SERRURERIE'!B37</f>
        <v>D - EQUIPEMENTS DIVERS</v>
      </c>
      <c r="B23" s="73">
        <f>'CLOTURE-SERRURERIE'!F45</f>
        <v>0</v>
      </c>
    </row>
    <row r="24" spans="1:5" ht="9" customHeight="1" x14ac:dyDescent="0.2">
      <c r="B24" s="73"/>
    </row>
    <row r="25" spans="1:5" ht="12.75" customHeight="1" x14ac:dyDescent="0.2">
      <c r="A25" s="8" t="str">
        <f>'CLOTURE-SERRURERIE'!B46</f>
        <v>E - ESPACES VERTS</v>
      </c>
      <c r="B25" s="73">
        <f>'CLOTURE-SERRURERIE'!F51</f>
        <v>0</v>
      </c>
    </row>
    <row r="26" spans="1:5" ht="9" customHeight="1" thickBot="1" x14ac:dyDescent="0.25">
      <c r="B26" s="162"/>
    </row>
    <row r="27" spans="1:5" ht="9" customHeight="1" x14ac:dyDescent="0.2">
      <c r="B27" s="163"/>
    </row>
    <row r="28" spans="1:5" ht="12.75" customHeight="1" x14ac:dyDescent="0.2">
      <c r="A28" s="16" t="s">
        <v>5</v>
      </c>
      <c r="B28" s="164">
        <f>SUM(B17:B26)</f>
        <v>0</v>
      </c>
    </row>
    <row r="29" spans="1:5" ht="9" customHeight="1" x14ac:dyDescent="0.2">
      <c r="A29" s="74"/>
      <c r="B29" s="73"/>
      <c r="E29" s="75"/>
    </row>
    <row r="30" spans="1:5" ht="12.75" customHeight="1" x14ac:dyDescent="0.2">
      <c r="A30" s="76" t="s">
        <v>16</v>
      </c>
      <c r="B30" s="165">
        <f>ROUND(B28*0.2,2)</f>
        <v>0</v>
      </c>
    </row>
    <row r="31" spans="1:5" ht="9" customHeight="1" x14ac:dyDescent="0.2">
      <c r="B31" s="73"/>
    </row>
    <row r="32" spans="1:5" ht="12.75" customHeight="1" x14ac:dyDescent="0.2">
      <c r="A32" s="16" t="s">
        <v>6</v>
      </c>
      <c r="B32" s="164">
        <f>SUM(B28:B30)</f>
        <v>0</v>
      </c>
    </row>
    <row r="35" spans="1:5" ht="12.75" customHeight="1" x14ac:dyDescent="0.2">
      <c r="A35" s="77"/>
    </row>
    <row r="38" spans="1:5" ht="27.95" customHeight="1" x14ac:dyDescent="0.2">
      <c r="A38" s="166" t="s">
        <v>11</v>
      </c>
      <c r="B38" s="166"/>
      <c r="C38" s="166"/>
      <c r="D38" s="166"/>
      <c r="E38" s="1" t="s">
        <v>12</v>
      </c>
    </row>
    <row r="40" spans="1:5" ht="12.75" customHeight="1" x14ac:dyDescent="0.2">
      <c r="B40" s="8" t="s">
        <v>7</v>
      </c>
    </row>
    <row r="41" spans="1:5" ht="12.75" customHeight="1" x14ac:dyDescent="0.2">
      <c r="B41" s="8" t="s">
        <v>8</v>
      </c>
    </row>
    <row r="42" spans="1:5" ht="12.75" customHeight="1" x14ac:dyDescent="0.2">
      <c r="B42" s="8" t="s">
        <v>9</v>
      </c>
    </row>
    <row r="43" spans="1:5" ht="12.75" customHeight="1" x14ac:dyDescent="0.2">
      <c r="B43" s="77" t="s">
        <v>10</v>
      </c>
    </row>
  </sheetData>
  <mergeCells count="11">
    <mergeCell ref="A38:D38"/>
    <mergeCell ref="A8:D8"/>
    <mergeCell ref="A9:D9"/>
    <mergeCell ref="A11:D11"/>
    <mergeCell ref="A12:D12"/>
    <mergeCell ref="A15:D15"/>
    <mergeCell ref="A7:D7"/>
    <mergeCell ref="A1:D1"/>
    <mergeCell ref="A3:D3"/>
    <mergeCell ref="A4:C4"/>
    <mergeCell ref="A5:D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2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991C3-BCF1-4A2A-808D-1B7BC3B9A7A8}">
  <sheetPr>
    <tabColor rgb="FF92D050"/>
    <pageSetUpPr fitToPage="1"/>
  </sheetPr>
  <dimension ref="A1:F55"/>
  <sheetViews>
    <sheetView showZeros="0" zoomScaleNormal="100" zoomScaleSheetLayoutView="100" workbookViewId="0">
      <selection activeCell="B41" sqref="B41"/>
    </sheetView>
  </sheetViews>
  <sheetFormatPr baseColWidth="10" defaultColWidth="11.42578125" defaultRowHeight="12.75" customHeight="1" x14ac:dyDescent="0.2"/>
  <cols>
    <col min="1" max="1" width="8.7109375" style="8" customWidth="1"/>
    <col min="2" max="2" width="65.7109375" style="8" customWidth="1"/>
    <col min="3" max="3" width="12.7109375" style="108" customWidth="1"/>
    <col min="4" max="4" width="10.7109375" style="8" customWidth="1"/>
    <col min="5" max="5" width="8.7109375" style="8" customWidth="1"/>
    <col min="6" max="6" width="15.7109375" style="108" customWidth="1"/>
    <col min="7" max="16384" width="11.42578125" style="8"/>
  </cols>
  <sheetData>
    <row r="1" spans="1:6" s="78" customFormat="1" ht="12.75" customHeight="1" x14ac:dyDescent="0.2">
      <c r="C1" s="17"/>
      <c r="E1" s="79"/>
      <c r="F1" s="80"/>
    </row>
    <row r="2" spans="1:6" s="78" customFormat="1" ht="12.75" customHeight="1" x14ac:dyDescent="0.2">
      <c r="A2" s="9" t="s">
        <v>79</v>
      </c>
      <c r="C2" s="17"/>
      <c r="E2" s="79"/>
      <c r="F2" s="80"/>
    </row>
    <row r="3" spans="1:6" s="78" customFormat="1" ht="12.75" customHeight="1" x14ac:dyDescent="0.2">
      <c r="A3" s="10" t="s">
        <v>108</v>
      </c>
      <c r="B3" s="81"/>
      <c r="D3" s="16"/>
      <c r="E3" s="17"/>
      <c r="F3" s="17"/>
    </row>
    <row r="4" spans="1:6" s="78" customFormat="1" ht="12.75" customHeight="1" x14ac:dyDescent="0.2">
      <c r="A4" s="10"/>
      <c r="B4" s="81"/>
      <c r="D4" s="16"/>
      <c r="E4" s="17"/>
      <c r="F4" s="17"/>
    </row>
    <row r="5" spans="1:6" s="84" customFormat="1" ht="12.75" customHeight="1" x14ac:dyDescent="0.2">
      <c r="A5" s="82" t="s">
        <v>1</v>
      </c>
      <c r="B5" s="82" t="s">
        <v>2</v>
      </c>
      <c r="C5" s="83" t="s">
        <v>0</v>
      </c>
      <c r="D5" s="186" t="s">
        <v>3</v>
      </c>
      <c r="E5" s="187"/>
      <c r="F5" s="83" t="s">
        <v>4</v>
      </c>
    </row>
    <row r="6" spans="1:6" s="91" customFormat="1" ht="12.75" customHeight="1" x14ac:dyDescent="0.2">
      <c r="A6" s="85"/>
      <c r="B6" s="86"/>
      <c r="C6" s="87"/>
      <c r="D6" s="88"/>
      <c r="E6" s="89"/>
      <c r="F6" s="114"/>
    </row>
    <row r="7" spans="1:6" s="112" customFormat="1" ht="12.75" customHeight="1" x14ac:dyDescent="0.2">
      <c r="A7" s="92"/>
      <c r="B7" s="93" t="s">
        <v>28</v>
      </c>
      <c r="C7" s="94"/>
      <c r="D7" s="115"/>
      <c r="E7" s="91"/>
      <c r="F7" s="114"/>
    </row>
    <row r="8" spans="1:6" s="112" customFormat="1" ht="12.75" customHeight="1" x14ac:dyDescent="0.2">
      <c r="A8" s="92"/>
      <c r="B8" s="98"/>
      <c r="C8" s="94"/>
      <c r="D8" s="116"/>
      <c r="E8" s="91"/>
      <c r="F8" s="114"/>
    </row>
    <row r="9" spans="1:6" s="112" customFormat="1" ht="12.75" customHeight="1" x14ac:dyDescent="0.2">
      <c r="A9" s="117" t="s">
        <v>307</v>
      </c>
      <c r="B9" s="118" t="s">
        <v>109</v>
      </c>
      <c r="C9" s="94"/>
      <c r="D9" s="74">
        <f>ROUNDUP(74.4,-1)</f>
        <v>80</v>
      </c>
      <c r="E9" s="8" t="s">
        <v>20</v>
      </c>
      <c r="F9" s="114">
        <f>IF(D9="pm","pm",D9*C9)</f>
        <v>0</v>
      </c>
    </row>
    <row r="10" spans="1:6" s="112" customFormat="1" ht="12.75" customHeight="1" x14ac:dyDescent="0.2">
      <c r="A10" s="117" t="s">
        <v>125</v>
      </c>
      <c r="B10" s="118" t="s">
        <v>309</v>
      </c>
      <c r="C10" s="94"/>
      <c r="D10" s="74">
        <f>ROUNDUP(45.2,-1)</f>
        <v>50</v>
      </c>
      <c r="E10" s="8" t="s">
        <v>20</v>
      </c>
      <c r="F10" s="114">
        <f>IF(D10="pm","pm",D10*C10)</f>
        <v>0</v>
      </c>
    </row>
    <row r="11" spans="1:6" s="112" customFormat="1" ht="12.75" customHeight="1" x14ac:dyDescent="0.2">
      <c r="A11" s="117" t="s">
        <v>126</v>
      </c>
      <c r="B11" s="118" t="s">
        <v>212</v>
      </c>
      <c r="C11" s="94"/>
      <c r="D11" s="74">
        <f>ROUNDUP(64.2,-1)</f>
        <v>70</v>
      </c>
      <c r="E11" s="8" t="s">
        <v>20</v>
      </c>
      <c r="F11" s="114">
        <f>IF(D11="pm","pm",D11*C11)</f>
        <v>0</v>
      </c>
    </row>
    <row r="12" spans="1:6" s="112" customFormat="1" ht="12.75" customHeight="1" x14ac:dyDescent="0.2">
      <c r="A12" s="119"/>
      <c r="B12" s="120"/>
      <c r="C12" s="121"/>
      <c r="D12" s="106"/>
      <c r="E12" s="106"/>
      <c r="F12" s="114"/>
    </row>
    <row r="13" spans="1:6" ht="12.75" customHeight="1" x14ac:dyDescent="0.2">
      <c r="A13" s="117"/>
      <c r="B13" s="118"/>
      <c r="C13" s="122"/>
      <c r="D13" s="190" t="s">
        <v>26</v>
      </c>
      <c r="E13" s="193"/>
      <c r="F13" s="123">
        <f>SUM(F6:F12)</f>
        <v>0</v>
      </c>
    </row>
    <row r="14" spans="1:6" ht="12.75" customHeight="1" x14ac:dyDescent="0.2">
      <c r="A14" s="92"/>
      <c r="B14" s="93" t="s">
        <v>27</v>
      </c>
      <c r="C14" s="94"/>
      <c r="D14" s="115"/>
      <c r="E14" s="91"/>
      <c r="F14" s="114"/>
    </row>
    <row r="15" spans="1:6" ht="12.75" customHeight="1" x14ac:dyDescent="0.2">
      <c r="A15" s="92"/>
      <c r="B15" s="98"/>
      <c r="C15" s="94"/>
      <c r="D15" s="116"/>
      <c r="E15" s="91"/>
      <c r="F15" s="114"/>
    </row>
    <row r="16" spans="1:6" ht="12.75" customHeight="1" x14ac:dyDescent="0.2">
      <c r="A16" s="117" t="s">
        <v>131</v>
      </c>
      <c r="B16" s="118" t="s">
        <v>112</v>
      </c>
      <c r="C16" s="94"/>
      <c r="D16" s="8">
        <v>1</v>
      </c>
      <c r="E16" s="8" t="s">
        <v>23</v>
      </c>
      <c r="F16" s="114">
        <f>IF(D16="pm","pm",D16*C16)</f>
        <v>0</v>
      </c>
    </row>
    <row r="17" spans="1:6" ht="12.75" customHeight="1" x14ac:dyDescent="0.2">
      <c r="A17" s="117" t="s">
        <v>127</v>
      </c>
      <c r="B17" s="118" t="s">
        <v>111</v>
      </c>
      <c r="C17" s="94"/>
      <c r="D17" s="8">
        <v>1</v>
      </c>
      <c r="E17" s="8" t="s">
        <v>23</v>
      </c>
      <c r="F17" s="114">
        <f>IF(D17="pm","pm",D17*C17)</f>
        <v>0</v>
      </c>
    </row>
    <row r="18" spans="1:6" ht="12.75" customHeight="1" x14ac:dyDescent="0.2">
      <c r="A18" s="117" t="s">
        <v>132</v>
      </c>
      <c r="B18" s="118" t="s">
        <v>110</v>
      </c>
      <c r="C18" s="94"/>
      <c r="D18" s="8">
        <v>1</v>
      </c>
      <c r="E18" s="8" t="s">
        <v>23</v>
      </c>
      <c r="F18" s="114">
        <f>IF(D18="pm","pm",D18*C18)</f>
        <v>0</v>
      </c>
    </row>
    <row r="19" spans="1:6" ht="12.75" customHeight="1" x14ac:dyDescent="0.2">
      <c r="A19" s="119"/>
      <c r="B19" s="120"/>
      <c r="C19" s="121"/>
      <c r="D19" s="106"/>
      <c r="E19" s="106"/>
      <c r="F19" s="114"/>
    </row>
    <row r="20" spans="1:6" ht="12.75" customHeight="1" x14ac:dyDescent="0.2">
      <c r="A20" s="117"/>
      <c r="B20" s="118"/>
      <c r="C20" s="122"/>
      <c r="D20" s="190" t="s">
        <v>14</v>
      </c>
      <c r="E20" s="193"/>
      <c r="F20" s="123">
        <f>SUM(F14:F19)</f>
        <v>0</v>
      </c>
    </row>
    <row r="21" spans="1:6" ht="12.75" customHeight="1" x14ac:dyDescent="0.2">
      <c r="A21" s="92"/>
      <c r="B21" s="93" t="s">
        <v>34</v>
      </c>
      <c r="C21" s="94"/>
      <c r="D21" s="115"/>
      <c r="E21" s="91"/>
      <c r="F21" s="114"/>
    </row>
    <row r="22" spans="1:6" ht="12.75" customHeight="1" x14ac:dyDescent="0.2">
      <c r="A22" s="92"/>
      <c r="B22" s="98"/>
      <c r="C22" s="94"/>
      <c r="D22" s="116"/>
      <c r="E22" s="91"/>
      <c r="F22" s="114"/>
    </row>
    <row r="23" spans="1:6" ht="12.75" customHeight="1" x14ac:dyDescent="0.2">
      <c r="A23" s="117" t="s">
        <v>133</v>
      </c>
      <c r="B23" s="124" t="s">
        <v>348</v>
      </c>
      <c r="C23" s="94"/>
      <c r="D23" s="8">
        <v>1</v>
      </c>
      <c r="E23" s="8" t="s">
        <v>23</v>
      </c>
      <c r="F23" s="114">
        <f t="shared" ref="F23:F34" si="0">IF(D23="pm","pm",D23*C23)</f>
        <v>0</v>
      </c>
    </row>
    <row r="24" spans="1:6" ht="12.75" customHeight="1" x14ac:dyDescent="0.2">
      <c r="A24" s="117" t="s">
        <v>134</v>
      </c>
      <c r="B24" s="124" t="s">
        <v>350</v>
      </c>
      <c r="C24" s="94"/>
      <c r="D24" s="8">
        <v>15</v>
      </c>
      <c r="E24" s="8" t="s">
        <v>23</v>
      </c>
      <c r="F24" s="114">
        <f t="shared" si="0"/>
        <v>0</v>
      </c>
    </row>
    <row r="25" spans="1:6" ht="12.75" customHeight="1" x14ac:dyDescent="0.2">
      <c r="A25" s="117" t="s">
        <v>135</v>
      </c>
      <c r="B25" s="124" t="s">
        <v>115</v>
      </c>
      <c r="C25" s="94"/>
      <c r="D25" s="8">
        <v>9</v>
      </c>
      <c r="E25" s="8" t="s">
        <v>23</v>
      </c>
      <c r="F25" s="114">
        <f t="shared" ref="F25:F26" si="1">IF(D25="pm","pm",D25*C25)</f>
        <v>0</v>
      </c>
    </row>
    <row r="26" spans="1:6" ht="12.75" customHeight="1" x14ac:dyDescent="0.2">
      <c r="A26" s="117" t="s">
        <v>136</v>
      </c>
      <c r="B26" s="124" t="s">
        <v>349</v>
      </c>
      <c r="C26" s="94"/>
      <c r="D26" s="8">
        <v>9</v>
      </c>
      <c r="E26" s="8" t="s">
        <v>23</v>
      </c>
      <c r="F26" s="114">
        <f t="shared" si="1"/>
        <v>0</v>
      </c>
    </row>
    <row r="27" spans="1:6" ht="12.75" customHeight="1" x14ac:dyDescent="0.2">
      <c r="A27" s="117" t="s">
        <v>137</v>
      </c>
      <c r="B27" s="124" t="s">
        <v>351</v>
      </c>
      <c r="C27" s="94"/>
      <c r="D27" s="8">
        <v>4</v>
      </c>
      <c r="E27" s="8" t="s">
        <v>23</v>
      </c>
      <c r="F27" s="114">
        <f t="shared" si="0"/>
        <v>0</v>
      </c>
    </row>
    <row r="28" spans="1:6" ht="12.75" customHeight="1" x14ac:dyDescent="0.2">
      <c r="A28" s="117" t="s">
        <v>138</v>
      </c>
      <c r="B28" s="124" t="s">
        <v>113</v>
      </c>
      <c r="C28" s="94"/>
      <c r="D28" s="8">
        <v>9</v>
      </c>
      <c r="E28" s="8" t="s">
        <v>23</v>
      </c>
      <c r="F28" s="114">
        <f t="shared" si="0"/>
        <v>0</v>
      </c>
    </row>
    <row r="29" spans="1:6" ht="12.75" customHeight="1" x14ac:dyDescent="0.2">
      <c r="A29" s="117" t="s">
        <v>139</v>
      </c>
      <c r="B29" s="124" t="s">
        <v>114</v>
      </c>
      <c r="C29" s="94"/>
      <c r="D29" s="8">
        <v>2</v>
      </c>
      <c r="E29" s="8" t="s">
        <v>23</v>
      </c>
      <c r="F29" s="114">
        <f t="shared" si="0"/>
        <v>0</v>
      </c>
    </row>
    <row r="30" spans="1:6" ht="12.75" customHeight="1" x14ac:dyDescent="0.2">
      <c r="A30" s="117" t="s">
        <v>140</v>
      </c>
      <c r="B30" s="124" t="s">
        <v>314</v>
      </c>
      <c r="C30" s="94"/>
      <c r="D30" s="8">
        <v>2</v>
      </c>
      <c r="E30" s="8" t="s">
        <v>23</v>
      </c>
      <c r="F30" s="114">
        <f t="shared" si="0"/>
        <v>0</v>
      </c>
    </row>
    <row r="31" spans="1:6" x14ac:dyDescent="0.2">
      <c r="A31" s="117" t="s">
        <v>141</v>
      </c>
      <c r="B31" s="124" t="s">
        <v>315</v>
      </c>
      <c r="C31" s="94"/>
      <c r="D31" s="8">
        <v>4</v>
      </c>
      <c r="E31" s="8" t="s">
        <v>23</v>
      </c>
      <c r="F31" s="114">
        <f t="shared" si="0"/>
        <v>0</v>
      </c>
    </row>
    <row r="32" spans="1:6" ht="12.75" customHeight="1" x14ac:dyDescent="0.2">
      <c r="A32" s="117" t="s">
        <v>128</v>
      </c>
      <c r="B32" s="124" t="s">
        <v>317</v>
      </c>
      <c r="C32" s="94"/>
      <c r="D32" s="8">
        <v>1</v>
      </c>
      <c r="E32" s="8" t="s">
        <v>23</v>
      </c>
      <c r="F32" s="114">
        <f t="shared" si="0"/>
        <v>0</v>
      </c>
    </row>
    <row r="33" spans="1:6" ht="12.75" customHeight="1" x14ac:dyDescent="0.2">
      <c r="A33" s="117" t="s">
        <v>142</v>
      </c>
      <c r="B33" s="118" t="s">
        <v>316</v>
      </c>
      <c r="C33" s="94"/>
      <c r="D33" s="8">
        <v>1</v>
      </c>
      <c r="E33" s="8" t="s">
        <v>23</v>
      </c>
      <c r="F33" s="114">
        <f t="shared" si="0"/>
        <v>0</v>
      </c>
    </row>
    <row r="34" spans="1:6" ht="12.75" customHeight="1" x14ac:dyDescent="0.2">
      <c r="A34" s="117" t="s">
        <v>143</v>
      </c>
      <c r="B34" s="118" t="s">
        <v>313</v>
      </c>
      <c r="C34" s="94"/>
      <c r="D34" s="8">
        <v>1</v>
      </c>
      <c r="E34" s="8" t="s">
        <v>23</v>
      </c>
      <c r="F34" s="114">
        <f t="shared" si="0"/>
        <v>0</v>
      </c>
    </row>
    <row r="35" spans="1:6" ht="12.75" customHeight="1" x14ac:dyDescent="0.2">
      <c r="A35" s="119"/>
      <c r="B35" s="120"/>
      <c r="C35" s="121"/>
      <c r="D35" s="106"/>
      <c r="E35" s="106"/>
      <c r="F35" s="114"/>
    </row>
    <row r="36" spans="1:6" ht="12.75" customHeight="1" x14ac:dyDescent="0.2">
      <c r="A36" s="117"/>
      <c r="B36" s="118"/>
      <c r="C36" s="122"/>
      <c r="D36" s="190" t="s">
        <v>15</v>
      </c>
      <c r="E36" s="193"/>
      <c r="F36" s="123">
        <f>SUM(F21:F35)</f>
        <v>0</v>
      </c>
    </row>
    <row r="37" spans="1:6" ht="12.75" customHeight="1" x14ac:dyDescent="0.2">
      <c r="A37" s="92"/>
      <c r="B37" s="93" t="s">
        <v>81</v>
      </c>
      <c r="C37" s="94"/>
      <c r="D37" s="115"/>
      <c r="E37" s="91"/>
      <c r="F37" s="114"/>
    </row>
    <row r="38" spans="1:6" ht="12.75" customHeight="1" x14ac:dyDescent="0.2">
      <c r="A38" s="92"/>
      <c r="B38" s="98"/>
      <c r="C38" s="94"/>
      <c r="D38" s="116"/>
      <c r="E38" s="91"/>
      <c r="F38" s="114"/>
    </row>
    <row r="39" spans="1:6" x14ac:dyDescent="0.2">
      <c r="A39" s="117" t="s">
        <v>144</v>
      </c>
      <c r="B39" s="131" t="s">
        <v>82</v>
      </c>
      <c r="C39" s="94"/>
      <c r="D39" s="8">
        <v>18</v>
      </c>
      <c r="E39" s="8" t="s">
        <v>23</v>
      </c>
      <c r="F39" s="114">
        <f>IF(D39="pm","pm",D39*C39)</f>
        <v>0</v>
      </c>
    </row>
    <row r="40" spans="1:6" x14ac:dyDescent="0.2">
      <c r="A40" s="117" t="s">
        <v>145</v>
      </c>
      <c r="B40" s="131" t="s">
        <v>83</v>
      </c>
      <c r="C40" s="94"/>
      <c r="D40" s="8">
        <v>3</v>
      </c>
      <c r="E40" s="8" t="s">
        <v>23</v>
      </c>
      <c r="F40" s="114">
        <f>IF(D40="pm","pm",D40*C40)</f>
        <v>0</v>
      </c>
    </row>
    <row r="41" spans="1:6" x14ac:dyDescent="0.2">
      <c r="A41" s="117" t="s">
        <v>146</v>
      </c>
      <c r="B41" s="118" t="s">
        <v>148</v>
      </c>
      <c r="C41" s="94"/>
      <c r="D41" s="8">
        <v>3</v>
      </c>
      <c r="E41" s="8" t="s">
        <v>23</v>
      </c>
      <c r="F41" s="114">
        <f>IF(D41="pm","pm",D41*C41)</f>
        <v>0</v>
      </c>
    </row>
    <row r="42" spans="1:6" ht="12.75" customHeight="1" x14ac:dyDescent="0.2">
      <c r="A42" s="117" t="s">
        <v>129</v>
      </c>
      <c r="B42" s="118" t="s">
        <v>84</v>
      </c>
      <c r="C42" s="94"/>
      <c r="D42" s="8">
        <f>3*6</f>
        <v>18</v>
      </c>
      <c r="E42" s="8" t="s">
        <v>20</v>
      </c>
      <c r="F42" s="114">
        <f>IF(D42="pm","pm",D42*C42)</f>
        <v>0</v>
      </c>
    </row>
    <row r="43" spans="1:6" ht="12.75" customHeight="1" x14ac:dyDescent="0.2">
      <c r="A43" s="117" t="s">
        <v>147</v>
      </c>
      <c r="B43" s="118" t="s">
        <v>97</v>
      </c>
      <c r="C43" s="94"/>
      <c r="D43" s="8">
        <v>1</v>
      </c>
      <c r="E43" s="8" t="s">
        <v>23</v>
      </c>
      <c r="F43" s="114">
        <f>IF(D43="pm","pm",D43*C43)</f>
        <v>0</v>
      </c>
    </row>
    <row r="44" spans="1:6" ht="12.75" customHeight="1" x14ac:dyDescent="0.2">
      <c r="A44" s="119"/>
      <c r="B44" s="120"/>
      <c r="C44" s="121"/>
      <c r="D44" s="106"/>
      <c r="E44" s="106"/>
      <c r="F44" s="114"/>
    </row>
    <row r="45" spans="1:6" ht="12.75" customHeight="1" x14ac:dyDescent="0.2">
      <c r="A45" s="125"/>
      <c r="B45" s="126"/>
      <c r="C45" s="127"/>
      <c r="D45" s="190" t="s">
        <v>24</v>
      </c>
      <c r="E45" s="193"/>
      <c r="F45" s="123">
        <f>SUM(F37:F44)</f>
        <v>0</v>
      </c>
    </row>
    <row r="46" spans="1:6" ht="12.75" customHeight="1" x14ac:dyDescent="0.2">
      <c r="A46" s="92"/>
      <c r="B46" s="93" t="s">
        <v>80</v>
      </c>
      <c r="C46" s="94"/>
      <c r="D46" s="115"/>
      <c r="E46" s="91"/>
      <c r="F46" s="114"/>
    </row>
    <row r="47" spans="1:6" ht="12.75" customHeight="1" x14ac:dyDescent="0.2">
      <c r="A47" s="92"/>
      <c r="B47" s="98"/>
      <c r="C47" s="94"/>
      <c r="D47" s="116"/>
      <c r="E47" s="91"/>
      <c r="F47" s="114"/>
    </row>
    <row r="48" spans="1:6" ht="12.75" customHeight="1" x14ac:dyDescent="0.2">
      <c r="A48" s="117" t="s">
        <v>352</v>
      </c>
      <c r="B48" s="118" t="s">
        <v>64</v>
      </c>
      <c r="C48" s="94"/>
      <c r="D48" s="8">
        <f>ROUNDUP(1008.6,-1)</f>
        <v>1010</v>
      </c>
      <c r="E48" s="8" t="s">
        <v>21</v>
      </c>
      <c r="F48" s="114">
        <f>IF(D48="pm","pm",D48*C48)</f>
        <v>0</v>
      </c>
    </row>
    <row r="49" spans="1:6" ht="12.75" customHeight="1" x14ac:dyDescent="0.2">
      <c r="A49" s="117" t="s">
        <v>353</v>
      </c>
      <c r="B49" s="118" t="s">
        <v>30</v>
      </c>
      <c r="C49" s="94"/>
      <c r="D49" s="8">
        <f>ROUNDUP(27.7,-1)</f>
        <v>30</v>
      </c>
      <c r="E49" s="8" t="s">
        <v>20</v>
      </c>
      <c r="F49" s="114">
        <f>IF(D49="pm","pm",D49*C49)</f>
        <v>0</v>
      </c>
    </row>
    <row r="50" spans="1:6" ht="12.75" customHeight="1" x14ac:dyDescent="0.2">
      <c r="A50" s="128"/>
      <c r="B50" s="120"/>
      <c r="C50" s="121"/>
      <c r="D50" s="106"/>
      <c r="E50" s="106"/>
      <c r="F50" s="129"/>
    </row>
    <row r="51" spans="1:6" ht="12.75" customHeight="1" x14ac:dyDescent="0.2">
      <c r="D51" s="195" t="s">
        <v>29</v>
      </c>
      <c r="E51" s="188"/>
      <c r="F51" s="130">
        <f>SUM(F46:F50)</f>
        <v>0</v>
      </c>
    </row>
    <row r="52" spans="1:6" ht="12.75" customHeight="1" x14ac:dyDescent="0.2">
      <c r="C52" s="8"/>
      <c r="F52" s="8"/>
    </row>
    <row r="53" spans="1:6" ht="12.75" customHeight="1" x14ac:dyDescent="0.2">
      <c r="C53" s="8"/>
      <c r="F53" s="8"/>
    </row>
    <row r="54" spans="1:6" ht="12.75" customHeight="1" x14ac:dyDescent="0.2">
      <c r="C54" s="8"/>
      <c r="F54" s="8"/>
    </row>
    <row r="55" spans="1:6" ht="12.75" customHeight="1" x14ac:dyDescent="0.2">
      <c r="C55" s="8"/>
      <c r="F55" s="8"/>
    </row>
  </sheetData>
  <dataConsolidate>
    <dataRefs count="1">
      <dataRef ref="A1:F1" r:id="rId1"/>
    </dataRefs>
  </dataConsolidate>
  <mergeCells count="6">
    <mergeCell ref="D51:E51"/>
    <mergeCell ref="D36:E36"/>
    <mergeCell ref="D45:E45"/>
    <mergeCell ref="D5:E5"/>
    <mergeCell ref="D13:E13"/>
    <mergeCell ref="D20:E20"/>
  </mergeCells>
  <phoneticPr fontId="14" type="noConversion"/>
  <printOptions horizontalCentered="1"/>
  <pageMargins left="0.25" right="0.25" top="0.75" bottom="0.75" header="0.3" footer="0.3"/>
  <pageSetup paperSize="9" scale="82" firstPageNumber="2" fitToHeight="0" orientation="portrait" useFirstPageNumber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16</vt:i4>
      </vt:variant>
    </vt:vector>
  </HeadingPairs>
  <TitlesOfParts>
    <vt:vector size="27" baseType="lpstr">
      <vt:lpstr>TOTAL</vt:lpstr>
      <vt:lpstr>01</vt:lpstr>
      <vt:lpstr>TERR-VRD</vt:lpstr>
      <vt:lpstr>02</vt:lpstr>
      <vt:lpstr>GC-BÂTIMENT</vt:lpstr>
      <vt:lpstr>03</vt:lpstr>
      <vt:lpstr>ELECTRICITE-VIDEO</vt:lpstr>
      <vt:lpstr>04</vt:lpstr>
      <vt:lpstr>CLOTURE-SERRURERIE</vt:lpstr>
      <vt:lpstr>05</vt:lpstr>
      <vt:lpstr>GESTION ACCES</vt:lpstr>
      <vt:lpstr>'CLOTURE-SERRURERIE'!Impression_des_titres</vt:lpstr>
      <vt:lpstr>'ELECTRICITE-VIDEO'!Impression_des_titres</vt:lpstr>
      <vt:lpstr>'GC-BÂTIMENT'!Impression_des_titres</vt:lpstr>
      <vt:lpstr>'GESTION ACCES'!Impression_des_titres</vt:lpstr>
      <vt:lpstr>'TERR-VRD'!Impression_des_titres</vt:lpstr>
      <vt:lpstr>'01'!Zone_d_impression</vt:lpstr>
      <vt:lpstr>'02'!Zone_d_impression</vt:lpstr>
      <vt:lpstr>'03'!Zone_d_impression</vt:lpstr>
      <vt:lpstr>'04'!Zone_d_impression</vt:lpstr>
      <vt:lpstr>'05'!Zone_d_impression</vt:lpstr>
      <vt:lpstr>'CLOTURE-SERRURERIE'!Zone_d_impression</vt:lpstr>
      <vt:lpstr>'ELECTRICITE-VIDEO'!Zone_d_impression</vt:lpstr>
      <vt:lpstr>'GC-BÂTIMENT'!Zone_d_impression</vt:lpstr>
      <vt:lpstr>'GESTION ACCES'!Zone_d_impression</vt:lpstr>
      <vt:lpstr>'TERR-VRD'!Zone_d_impression</vt:lpstr>
      <vt:lpstr>TOTAL!Zone_d_impression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Boris GRABY</dc:creator>
  <cp:lastModifiedBy>Remy MONDOT</cp:lastModifiedBy>
  <cp:lastPrinted>2024-11-07T09:13:23Z</cp:lastPrinted>
  <dcterms:created xsi:type="dcterms:W3CDTF">1997-09-23T12:11:14Z</dcterms:created>
  <dcterms:modified xsi:type="dcterms:W3CDTF">2024-11-07T09:13:32Z</dcterms:modified>
</cp:coreProperties>
</file>